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Tmmp\c\Users\Public\Documents\Прайс\2026.05.29\"/>
    </mc:Choice>
  </mc:AlternateContent>
  <bookViews>
    <workbookView xWindow="0" yWindow="0" windowWidth="12525" windowHeight="6465" tabRatio="499"/>
  </bookViews>
  <sheets>
    <sheet name="Прайс" sheetId="1" r:id="rId1"/>
    <sheet name="Содержание" sheetId="3" r:id="rId2"/>
    <sheet name="Помощь" sheetId="4" r:id="rId3"/>
    <sheet name="Контакты" sheetId="5" r:id="rId4"/>
  </sheets>
  <definedNames>
    <definedName name="_xlnm._FilterDatabase" localSheetId="0" hidden="1">Прайс!$E$2:$E$2949</definedName>
    <definedName name="cena">Прайс!$D:$D</definedName>
    <definedName name="zakaz">Прайс!$E:$E</definedName>
    <definedName name="Содержание">#REF!</definedName>
  </definedNames>
  <calcPr calcId="162913"/>
</workbook>
</file>

<file path=xl/calcChain.xml><?xml version="1.0" encoding="utf-8"?>
<calcChain xmlns="http://schemas.openxmlformats.org/spreadsheetml/2006/main">
  <c r="G2949" i="1" l="1"/>
  <c r="F2949" i="1"/>
  <c r="F2948" i="1"/>
  <c r="G2946" i="1"/>
  <c r="F2946" i="1"/>
  <c r="G2945" i="1"/>
  <c r="F2945" i="1"/>
  <c r="G2943" i="1"/>
  <c r="F2943" i="1"/>
  <c r="G2942" i="1"/>
  <c r="F2942" i="1"/>
  <c r="G2941" i="1"/>
  <c r="F2941" i="1"/>
  <c r="G2940" i="1"/>
  <c r="F2940" i="1"/>
  <c r="G2939" i="1"/>
  <c r="F2939" i="1"/>
  <c r="G2938" i="1"/>
  <c r="F2938" i="1"/>
  <c r="G2937" i="1"/>
  <c r="F2937" i="1"/>
  <c r="G2936" i="1"/>
  <c r="F2936" i="1"/>
  <c r="G2935" i="1"/>
  <c r="F2935" i="1"/>
  <c r="G2934" i="1"/>
  <c r="F2934" i="1"/>
  <c r="G2933" i="1"/>
  <c r="F2933" i="1"/>
  <c r="G2932" i="1"/>
  <c r="F2932" i="1"/>
  <c r="G2931" i="1"/>
  <c r="F2931" i="1"/>
  <c r="G2930" i="1"/>
  <c r="F2930" i="1"/>
  <c r="G2929" i="1"/>
  <c r="F2929" i="1"/>
  <c r="G2928" i="1"/>
  <c r="F2928" i="1"/>
  <c r="G2927" i="1"/>
  <c r="F2927" i="1"/>
  <c r="G2926" i="1"/>
  <c r="F2926" i="1"/>
  <c r="G2925" i="1"/>
  <c r="F2925" i="1"/>
  <c r="G2924" i="1"/>
  <c r="F2924" i="1"/>
  <c r="G2923" i="1"/>
  <c r="F2923" i="1"/>
  <c r="G2922" i="1"/>
  <c r="F2922" i="1"/>
  <c r="G2921" i="1"/>
  <c r="F2921" i="1"/>
  <c r="G2920" i="1"/>
  <c r="F2920" i="1"/>
  <c r="G2919" i="1"/>
  <c r="F2919" i="1"/>
  <c r="G2918" i="1"/>
  <c r="F2918" i="1"/>
  <c r="G2917" i="1"/>
  <c r="F2917" i="1"/>
  <c r="G2916" i="1"/>
  <c r="F2916" i="1"/>
  <c r="G2915" i="1"/>
  <c r="F2915" i="1"/>
  <c r="G2914" i="1"/>
  <c r="F2914" i="1"/>
  <c r="G2913" i="1"/>
  <c r="F2913" i="1"/>
  <c r="G2912" i="1"/>
  <c r="F2912" i="1"/>
  <c r="G2911" i="1"/>
  <c r="F2911" i="1"/>
  <c r="G2910" i="1"/>
  <c r="F2910" i="1"/>
  <c r="G2909" i="1"/>
  <c r="F2909" i="1"/>
  <c r="G2908" i="1"/>
  <c r="F2908" i="1"/>
  <c r="G2907" i="1"/>
  <c r="F2907" i="1"/>
  <c r="G2905" i="1"/>
  <c r="F2905" i="1"/>
  <c r="G2904" i="1"/>
  <c r="F2904" i="1"/>
  <c r="G2903" i="1"/>
  <c r="F2903" i="1"/>
  <c r="G2902" i="1"/>
  <c r="F2902" i="1"/>
  <c r="G2901" i="1"/>
  <c r="F2901" i="1"/>
  <c r="G2900" i="1"/>
  <c r="F2900" i="1"/>
  <c r="G2899" i="1"/>
  <c r="F2899" i="1"/>
  <c r="G2898" i="1"/>
  <c r="F2898" i="1"/>
  <c r="G2896" i="1"/>
  <c r="F2896" i="1"/>
  <c r="G2895" i="1"/>
  <c r="F2895" i="1"/>
  <c r="G2894" i="1"/>
  <c r="F2894" i="1"/>
  <c r="G2893" i="1"/>
  <c r="F2893" i="1"/>
  <c r="G2892" i="1"/>
  <c r="F2892" i="1"/>
  <c r="G2891" i="1"/>
  <c r="F2891" i="1"/>
  <c r="G2890" i="1"/>
  <c r="F2890" i="1"/>
  <c r="G2889" i="1"/>
  <c r="F2889" i="1"/>
  <c r="G2888" i="1"/>
  <c r="F2888" i="1"/>
  <c r="G2887" i="1"/>
  <c r="F2887" i="1"/>
  <c r="G2886" i="1"/>
  <c r="F2886" i="1"/>
  <c r="G2885" i="1"/>
  <c r="F2885" i="1"/>
  <c r="G2884" i="1"/>
  <c r="F2884" i="1"/>
  <c r="G2883" i="1"/>
  <c r="F2883" i="1"/>
  <c r="G2882" i="1"/>
  <c r="F2882" i="1"/>
  <c r="G2881" i="1"/>
  <c r="F2881" i="1"/>
  <c r="G2880" i="1"/>
  <c r="F2880" i="1"/>
  <c r="G2879" i="1"/>
  <c r="F2879" i="1"/>
  <c r="G2878" i="1"/>
  <c r="F2878" i="1"/>
  <c r="G2877" i="1"/>
  <c r="F2877" i="1"/>
  <c r="G2876" i="1"/>
  <c r="F2876" i="1"/>
  <c r="G2875" i="1"/>
  <c r="F2875" i="1"/>
  <c r="G2874" i="1"/>
  <c r="F2874" i="1"/>
  <c r="G2873" i="1"/>
  <c r="F2873" i="1"/>
  <c r="G2872" i="1"/>
  <c r="F2872" i="1"/>
  <c r="G2870" i="1"/>
  <c r="F2870" i="1"/>
  <c r="G2869" i="1"/>
  <c r="F2869" i="1"/>
  <c r="G2868" i="1"/>
  <c r="F2868" i="1"/>
  <c r="G2867" i="1"/>
  <c r="F2867" i="1"/>
  <c r="G2866" i="1"/>
  <c r="F2866" i="1"/>
  <c r="G2865" i="1"/>
  <c r="F2865" i="1"/>
  <c r="G2864" i="1"/>
  <c r="F2864" i="1"/>
  <c r="G2863" i="1"/>
  <c r="F2863" i="1"/>
  <c r="G2862" i="1"/>
  <c r="F2862" i="1"/>
  <c r="G2861" i="1"/>
  <c r="F2861" i="1"/>
  <c r="G2860" i="1"/>
  <c r="F2860" i="1"/>
  <c r="G2859" i="1"/>
  <c r="F2859" i="1"/>
  <c r="G2858" i="1"/>
  <c r="F2858" i="1"/>
  <c r="G2857" i="1"/>
  <c r="F2857" i="1"/>
  <c r="G2856" i="1"/>
  <c r="F2856" i="1"/>
  <c r="G2855" i="1"/>
  <c r="F2855" i="1"/>
  <c r="G2854" i="1"/>
  <c r="F2854" i="1"/>
  <c r="G2853" i="1"/>
  <c r="F2853" i="1"/>
  <c r="G2852" i="1"/>
  <c r="F2852" i="1"/>
  <c r="G2851" i="1"/>
  <c r="F2851" i="1"/>
  <c r="G2850" i="1"/>
  <c r="F2850" i="1"/>
  <c r="G2849" i="1"/>
  <c r="F2849" i="1"/>
  <c r="G2848" i="1"/>
  <c r="F2848" i="1"/>
  <c r="G2847" i="1"/>
  <c r="F2847" i="1"/>
  <c r="G2846" i="1"/>
  <c r="F2846" i="1"/>
  <c r="G2845" i="1"/>
  <c r="F2845" i="1"/>
  <c r="G2844" i="1"/>
  <c r="F2844" i="1"/>
  <c r="G2843" i="1"/>
  <c r="F2843" i="1"/>
  <c r="G2842" i="1"/>
  <c r="F2842" i="1"/>
  <c r="G2841" i="1"/>
  <c r="F2841" i="1"/>
  <c r="G2840" i="1"/>
  <c r="F2840" i="1"/>
  <c r="G2839" i="1"/>
  <c r="F2839" i="1"/>
  <c r="G2838" i="1"/>
  <c r="F2838" i="1"/>
  <c r="G2836" i="1"/>
  <c r="F2836" i="1"/>
  <c r="G2835" i="1"/>
  <c r="F2835" i="1"/>
  <c r="G2834" i="1"/>
  <c r="F2834" i="1"/>
  <c r="G2833" i="1"/>
  <c r="F2833" i="1"/>
  <c r="G2832" i="1"/>
  <c r="F2832" i="1"/>
  <c r="G2831" i="1"/>
  <c r="F2831" i="1"/>
  <c r="G2830" i="1"/>
  <c r="F2830" i="1"/>
  <c r="G2829" i="1"/>
  <c r="F2829" i="1"/>
  <c r="G2828" i="1"/>
  <c r="F2828" i="1"/>
  <c r="G2827" i="1"/>
  <c r="F2827" i="1"/>
  <c r="G2826" i="1"/>
  <c r="F2826" i="1"/>
  <c r="G2825" i="1"/>
  <c r="F2825" i="1"/>
  <c r="G2824" i="1"/>
  <c r="F2824" i="1"/>
  <c r="G2823" i="1"/>
  <c r="F2823" i="1"/>
  <c r="G2822" i="1"/>
  <c r="F2822" i="1"/>
  <c r="G2821" i="1"/>
  <c r="F2821" i="1"/>
  <c r="G2820" i="1"/>
  <c r="F2820" i="1"/>
  <c r="G2819" i="1"/>
  <c r="F2819" i="1"/>
  <c r="G2818" i="1"/>
  <c r="F2818" i="1"/>
  <c r="G2817" i="1"/>
  <c r="F2817" i="1"/>
  <c r="G2816" i="1"/>
  <c r="F2816" i="1"/>
  <c r="G2815" i="1"/>
  <c r="F2815" i="1"/>
  <c r="G2814" i="1"/>
  <c r="F2814" i="1"/>
  <c r="G2813" i="1"/>
  <c r="F2813" i="1"/>
  <c r="G2812" i="1"/>
  <c r="F2812" i="1"/>
  <c r="G2811" i="1"/>
  <c r="F2811" i="1"/>
  <c r="G2810" i="1"/>
  <c r="F2810" i="1"/>
  <c r="G2809" i="1"/>
  <c r="F2809" i="1"/>
  <c r="G2808" i="1"/>
  <c r="F2808" i="1"/>
  <c r="G2807" i="1"/>
  <c r="F2807" i="1"/>
  <c r="G2806" i="1"/>
  <c r="F2806" i="1"/>
  <c r="G2805" i="1"/>
  <c r="F2805" i="1"/>
  <c r="G2804" i="1"/>
  <c r="F2804" i="1"/>
  <c r="G2803" i="1"/>
  <c r="F2803" i="1"/>
  <c r="G2802" i="1"/>
  <c r="F2802" i="1"/>
  <c r="G2801" i="1"/>
  <c r="F2801" i="1"/>
  <c r="G2800" i="1"/>
  <c r="F2800" i="1"/>
  <c r="G2799" i="1"/>
  <c r="F2799" i="1"/>
  <c r="G2798" i="1"/>
  <c r="F2798" i="1"/>
  <c r="G2797" i="1"/>
  <c r="F2797" i="1"/>
  <c r="G2796" i="1"/>
  <c r="F2796" i="1"/>
  <c r="G2795" i="1"/>
  <c r="F2795" i="1"/>
  <c r="G2794" i="1"/>
  <c r="F2794" i="1"/>
  <c r="G2793" i="1"/>
  <c r="F2793" i="1"/>
  <c r="G2792" i="1"/>
  <c r="F2792" i="1"/>
  <c r="G2791" i="1"/>
  <c r="F2791" i="1"/>
  <c r="G2790" i="1"/>
  <c r="F2790" i="1"/>
  <c r="G2789" i="1"/>
  <c r="F2789" i="1"/>
  <c r="G2788" i="1"/>
  <c r="F2788" i="1"/>
  <c r="G2787" i="1"/>
  <c r="F2787" i="1"/>
  <c r="G2786" i="1"/>
  <c r="F2786" i="1"/>
  <c r="G2785" i="1"/>
  <c r="F2785" i="1"/>
  <c r="G2784" i="1"/>
  <c r="F2784" i="1"/>
  <c r="G2782" i="1"/>
  <c r="F2782" i="1"/>
  <c r="G2781" i="1"/>
  <c r="F2781" i="1"/>
  <c r="G2780" i="1"/>
  <c r="F2780" i="1"/>
  <c r="G2779" i="1"/>
  <c r="F2779" i="1"/>
  <c r="G2778" i="1"/>
  <c r="F2778" i="1"/>
  <c r="G2777" i="1"/>
  <c r="F2777" i="1"/>
  <c r="G2776" i="1"/>
  <c r="F2776" i="1"/>
  <c r="G2775" i="1"/>
  <c r="F2775" i="1"/>
  <c r="G2774" i="1"/>
  <c r="F2774" i="1"/>
  <c r="G2773" i="1"/>
  <c r="F2773" i="1"/>
  <c r="G2772" i="1"/>
  <c r="F2772" i="1"/>
  <c r="G2771" i="1"/>
  <c r="F2771" i="1"/>
  <c r="G2770" i="1"/>
  <c r="F2770" i="1"/>
  <c r="G2769" i="1"/>
  <c r="F2769" i="1"/>
  <c r="G2768" i="1"/>
  <c r="F2768" i="1"/>
  <c r="G2767" i="1"/>
  <c r="F2767" i="1"/>
  <c r="G2766" i="1"/>
  <c r="F2766" i="1"/>
  <c r="G2765" i="1"/>
  <c r="F2765" i="1"/>
  <c r="G2764" i="1"/>
  <c r="F2764" i="1"/>
  <c r="G2763" i="1"/>
  <c r="F2763" i="1"/>
  <c r="G2762" i="1"/>
  <c r="F2762" i="1"/>
  <c r="G2761" i="1"/>
  <c r="F2761" i="1"/>
  <c r="G2760" i="1"/>
  <c r="F2760" i="1"/>
  <c r="G2759" i="1"/>
  <c r="F2759" i="1"/>
  <c r="G2758" i="1"/>
  <c r="F2758" i="1"/>
  <c r="G2757" i="1"/>
  <c r="F2757" i="1"/>
  <c r="G2756" i="1"/>
  <c r="F2756" i="1"/>
  <c r="G2755" i="1"/>
  <c r="F2755" i="1"/>
  <c r="G2754" i="1"/>
  <c r="F2754" i="1"/>
  <c r="G2753" i="1"/>
  <c r="F2753" i="1"/>
  <c r="G2752" i="1"/>
  <c r="F2752" i="1"/>
  <c r="G2751" i="1"/>
  <c r="F2751" i="1"/>
  <c r="G2749" i="1"/>
  <c r="F2749" i="1"/>
  <c r="G2748" i="1"/>
  <c r="F2748" i="1"/>
  <c r="G2747" i="1"/>
  <c r="F2747" i="1"/>
  <c r="G2746" i="1"/>
  <c r="F2746" i="1"/>
  <c r="G2745" i="1"/>
  <c r="F2745" i="1"/>
  <c r="G2744" i="1"/>
  <c r="F2744" i="1"/>
  <c r="G2743" i="1"/>
  <c r="F2743" i="1"/>
  <c r="G2742" i="1"/>
  <c r="F2742" i="1"/>
  <c r="G2741" i="1"/>
  <c r="F2741" i="1"/>
  <c r="G2740" i="1"/>
  <c r="F2740" i="1"/>
  <c r="G2739" i="1"/>
  <c r="F2739" i="1"/>
  <c r="G2738" i="1"/>
  <c r="F2738" i="1"/>
  <c r="G2737" i="1"/>
  <c r="F2737" i="1"/>
  <c r="G2736" i="1"/>
  <c r="F2736" i="1"/>
  <c r="G2735" i="1"/>
  <c r="F2735" i="1"/>
  <c r="G2734" i="1"/>
  <c r="F2734" i="1"/>
  <c r="G2733" i="1"/>
  <c r="F2733" i="1"/>
  <c r="G2732" i="1"/>
  <c r="F2732" i="1"/>
  <c r="G2731" i="1"/>
  <c r="F2731" i="1"/>
  <c r="G2730" i="1"/>
  <c r="F2730" i="1"/>
  <c r="G2729" i="1"/>
  <c r="F2729" i="1"/>
  <c r="G2728" i="1"/>
  <c r="F2728" i="1"/>
  <c r="G2727" i="1"/>
  <c r="F2727" i="1"/>
  <c r="G2726" i="1"/>
  <c r="F2726" i="1"/>
  <c r="G2725" i="1"/>
  <c r="F2725" i="1"/>
  <c r="G2724" i="1"/>
  <c r="F2724" i="1"/>
  <c r="G2723" i="1"/>
  <c r="F2723" i="1"/>
  <c r="G2722" i="1"/>
  <c r="F2722" i="1"/>
  <c r="G2721" i="1"/>
  <c r="F2721" i="1"/>
  <c r="G2720" i="1"/>
  <c r="F2720" i="1"/>
  <c r="G2719" i="1"/>
  <c r="F2719" i="1"/>
  <c r="G2718" i="1"/>
  <c r="F2718" i="1"/>
  <c r="G2717" i="1"/>
  <c r="F2717" i="1"/>
  <c r="G2716" i="1"/>
  <c r="F2716" i="1"/>
  <c r="G2715" i="1"/>
  <c r="F2715" i="1"/>
  <c r="G2714" i="1"/>
  <c r="F2714" i="1"/>
  <c r="G2713" i="1"/>
  <c r="F2713" i="1"/>
  <c r="G2712" i="1"/>
  <c r="F2712" i="1"/>
  <c r="G2711" i="1"/>
  <c r="F2711" i="1"/>
  <c r="G2709" i="1"/>
  <c r="F2709" i="1"/>
  <c r="G2708" i="1"/>
  <c r="F2708" i="1"/>
  <c r="G2707" i="1"/>
  <c r="F2707" i="1"/>
  <c r="G2706" i="1"/>
  <c r="F2706" i="1"/>
  <c r="G2705" i="1"/>
  <c r="F2705" i="1"/>
  <c r="G2704" i="1"/>
  <c r="F2704" i="1"/>
  <c r="G2703" i="1"/>
  <c r="F2703" i="1"/>
  <c r="G2702" i="1"/>
  <c r="F2702" i="1"/>
  <c r="G2701" i="1"/>
  <c r="F2701" i="1"/>
  <c r="G2700" i="1"/>
  <c r="F2700" i="1"/>
  <c r="G2699" i="1"/>
  <c r="F2699" i="1"/>
  <c r="G2698" i="1"/>
  <c r="F2698" i="1"/>
  <c r="G2697" i="1"/>
  <c r="F2697" i="1"/>
  <c r="G2696" i="1"/>
  <c r="F2696" i="1"/>
  <c r="G2695" i="1"/>
  <c r="F2695" i="1"/>
  <c r="G2694" i="1"/>
  <c r="F2694" i="1"/>
  <c r="G2693" i="1"/>
  <c r="F2693" i="1"/>
  <c r="G2692" i="1"/>
  <c r="F2692" i="1"/>
  <c r="G2691" i="1"/>
  <c r="F2691" i="1"/>
  <c r="G2690" i="1"/>
  <c r="F2690" i="1"/>
  <c r="G2689" i="1"/>
  <c r="F2689" i="1"/>
  <c r="G2688" i="1"/>
  <c r="F2688" i="1"/>
  <c r="G2687" i="1"/>
  <c r="F2687" i="1"/>
  <c r="G2686" i="1"/>
  <c r="F2686" i="1"/>
  <c r="G2685" i="1"/>
  <c r="F2685" i="1"/>
  <c r="G2684" i="1"/>
  <c r="F2684" i="1"/>
  <c r="G2683" i="1"/>
  <c r="F2683" i="1"/>
  <c r="G2682" i="1"/>
  <c r="F2682" i="1"/>
  <c r="G2681" i="1"/>
  <c r="F2681" i="1"/>
  <c r="G2680" i="1"/>
  <c r="F2680" i="1"/>
  <c r="G2679" i="1"/>
  <c r="F2679" i="1"/>
  <c r="G2678" i="1"/>
  <c r="F2678" i="1"/>
  <c r="G2677" i="1"/>
  <c r="F2677" i="1"/>
  <c r="G2676" i="1"/>
  <c r="F2676" i="1"/>
  <c r="G2675" i="1"/>
  <c r="F2675" i="1"/>
  <c r="G2674" i="1"/>
  <c r="F2674" i="1"/>
  <c r="G2673" i="1"/>
  <c r="F2673" i="1"/>
  <c r="G2672" i="1"/>
  <c r="F2672" i="1"/>
  <c r="G2671" i="1"/>
  <c r="F2671" i="1"/>
  <c r="G2670" i="1"/>
  <c r="F2670" i="1"/>
  <c r="G2669" i="1"/>
  <c r="F2669" i="1"/>
  <c r="G2668" i="1"/>
  <c r="F2668" i="1"/>
  <c r="G2667" i="1"/>
  <c r="F2667" i="1"/>
  <c r="G2666" i="1"/>
  <c r="F2666" i="1"/>
  <c r="G2665" i="1"/>
  <c r="F2665" i="1"/>
  <c r="G2664" i="1"/>
  <c r="F2664" i="1"/>
  <c r="G2663" i="1"/>
  <c r="F2663" i="1"/>
  <c r="G2662" i="1"/>
  <c r="F2662" i="1"/>
  <c r="G2661" i="1"/>
  <c r="F2661" i="1"/>
  <c r="G2660" i="1"/>
  <c r="F2660" i="1"/>
  <c r="G2659" i="1"/>
  <c r="F2659" i="1"/>
  <c r="G2658" i="1"/>
  <c r="F2658" i="1"/>
  <c r="G2657" i="1"/>
  <c r="F2657" i="1"/>
  <c r="G2656" i="1"/>
  <c r="F2656" i="1"/>
  <c r="G2655" i="1"/>
  <c r="F2655" i="1"/>
  <c r="G2654" i="1"/>
  <c r="F2654" i="1"/>
  <c r="G2653" i="1"/>
  <c r="F2653" i="1"/>
  <c r="G2652" i="1"/>
  <c r="F2652" i="1"/>
  <c r="G2651" i="1"/>
  <c r="F2651" i="1"/>
  <c r="G2650" i="1"/>
  <c r="F2650" i="1"/>
  <c r="G2649" i="1"/>
  <c r="F2649" i="1"/>
  <c r="G2648" i="1"/>
  <c r="F2648" i="1"/>
  <c r="G2647" i="1"/>
  <c r="F2647" i="1"/>
  <c r="G2646" i="1"/>
  <c r="F2646" i="1"/>
  <c r="G2645" i="1"/>
  <c r="F2645" i="1"/>
  <c r="G2644" i="1"/>
  <c r="F2644" i="1"/>
  <c r="G2643" i="1"/>
  <c r="F2643" i="1"/>
  <c r="G2642" i="1"/>
  <c r="F2642" i="1"/>
  <c r="G2641" i="1"/>
  <c r="F2641" i="1"/>
  <c r="G2640" i="1"/>
  <c r="F2640" i="1"/>
  <c r="G2639" i="1"/>
  <c r="F2639" i="1"/>
  <c r="G2638" i="1"/>
  <c r="F2638" i="1"/>
  <c r="G2637" i="1"/>
  <c r="F2637" i="1"/>
  <c r="G2636" i="1"/>
  <c r="F2636" i="1"/>
  <c r="G2635" i="1"/>
  <c r="F2635" i="1"/>
  <c r="G2634" i="1"/>
  <c r="F2634" i="1"/>
  <c r="G2633" i="1"/>
  <c r="F2633" i="1"/>
  <c r="G2632" i="1"/>
  <c r="F2632" i="1"/>
  <c r="G2631" i="1"/>
  <c r="F2631" i="1"/>
  <c r="G2630" i="1"/>
  <c r="F2630" i="1"/>
  <c r="G2629" i="1"/>
  <c r="F2629" i="1"/>
  <c r="G2628" i="1"/>
  <c r="F2628" i="1"/>
  <c r="G2627" i="1"/>
  <c r="F2627" i="1"/>
  <c r="G2626" i="1"/>
  <c r="F2626" i="1"/>
  <c r="G2625" i="1"/>
  <c r="F2625" i="1"/>
  <c r="G2624" i="1"/>
  <c r="F2624" i="1"/>
  <c r="G2623" i="1"/>
  <c r="F2623" i="1"/>
  <c r="G2622" i="1"/>
  <c r="F2622" i="1"/>
  <c r="G2621" i="1"/>
  <c r="F2621" i="1"/>
  <c r="G2620" i="1"/>
  <c r="F2620" i="1"/>
  <c r="G2619" i="1"/>
  <c r="F2619" i="1"/>
  <c r="G2618" i="1"/>
  <c r="F2618" i="1"/>
  <c r="G2617" i="1"/>
  <c r="F2617" i="1"/>
  <c r="G2616" i="1"/>
  <c r="F2616" i="1"/>
  <c r="G2615" i="1"/>
  <c r="F2615" i="1"/>
  <c r="G2614" i="1"/>
  <c r="F2614" i="1"/>
  <c r="G2613" i="1"/>
  <c r="F2613" i="1"/>
  <c r="G2612" i="1"/>
  <c r="F2612" i="1"/>
  <c r="G2611" i="1"/>
  <c r="F2611" i="1"/>
  <c r="G2610" i="1"/>
  <c r="F2610" i="1"/>
  <c r="G2609" i="1"/>
  <c r="F2609" i="1"/>
  <c r="G2608" i="1"/>
  <c r="F2608" i="1"/>
  <c r="G2607" i="1"/>
  <c r="F2607" i="1"/>
  <c r="G2606" i="1"/>
  <c r="F2606" i="1"/>
  <c r="G2605" i="1"/>
  <c r="F2605" i="1"/>
  <c r="G2604" i="1"/>
  <c r="F2604" i="1"/>
  <c r="G2603" i="1"/>
  <c r="F2603" i="1"/>
  <c r="G2602" i="1"/>
  <c r="F2602" i="1"/>
  <c r="G2601" i="1"/>
  <c r="F2601" i="1"/>
  <c r="G2600" i="1"/>
  <c r="F2600" i="1"/>
  <c r="G2599" i="1"/>
  <c r="F2599" i="1"/>
  <c r="G2598" i="1"/>
  <c r="F2598" i="1"/>
  <c r="G2597" i="1"/>
  <c r="F2597" i="1"/>
  <c r="G2596" i="1"/>
  <c r="F2596" i="1"/>
  <c r="G2595" i="1"/>
  <c r="F2595" i="1"/>
  <c r="G2593" i="1"/>
  <c r="F2593" i="1"/>
  <c r="G2592" i="1"/>
  <c r="F2592" i="1"/>
  <c r="G2591" i="1"/>
  <c r="F2591" i="1"/>
  <c r="G2590" i="1"/>
  <c r="F2590" i="1"/>
  <c r="G2589" i="1"/>
  <c r="F2589" i="1"/>
  <c r="G2588" i="1"/>
  <c r="F2588" i="1"/>
  <c r="G2587" i="1"/>
  <c r="F2587" i="1"/>
  <c r="G2586" i="1"/>
  <c r="F2586" i="1"/>
  <c r="G2585" i="1"/>
  <c r="F2585" i="1"/>
  <c r="G2584" i="1"/>
  <c r="F2584" i="1"/>
  <c r="G2583" i="1"/>
  <c r="F2583" i="1"/>
  <c r="G2582" i="1"/>
  <c r="F2582" i="1"/>
  <c r="G2581" i="1"/>
  <c r="F2581" i="1"/>
  <c r="G2580" i="1"/>
  <c r="F2580" i="1"/>
  <c r="G2579" i="1"/>
  <c r="F2579" i="1"/>
  <c r="G2578" i="1"/>
  <c r="F2578" i="1"/>
  <c r="G2577" i="1"/>
  <c r="F2577" i="1"/>
  <c r="G2576" i="1"/>
  <c r="F2576" i="1"/>
  <c r="G2575" i="1"/>
  <c r="F2575" i="1"/>
  <c r="G2574" i="1"/>
  <c r="F2574" i="1"/>
  <c r="G2573" i="1"/>
  <c r="F2573" i="1"/>
  <c r="G2572" i="1"/>
  <c r="F2572" i="1"/>
  <c r="G2571" i="1"/>
  <c r="F2571" i="1"/>
  <c r="G2570" i="1"/>
  <c r="F2570" i="1"/>
  <c r="G2569" i="1"/>
  <c r="F2569" i="1"/>
  <c r="G2568" i="1"/>
  <c r="F2568" i="1"/>
  <c r="G2567" i="1"/>
  <c r="F2567" i="1"/>
  <c r="G2566" i="1"/>
  <c r="F2566" i="1"/>
  <c r="G2565" i="1"/>
  <c r="F2565" i="1"/>
  <c r="G2564" i="1"/>
  <c r="F2564" i="1"/>
  <c r="G2563" i="1"/>
  <c r="F2563" i="1"/>
  <c r="G2562" i="1"/>
  <c r="F2562" i="1"/>
  <c r="G2561" i="1"/>
  <c r="F2561" i="1"/>
  <c r="G2560" i="1"/>
  <c r="F2560" i="1"/>
  <c r="G2559" i="1"/>
  <c r="F2559" i="1"/>
  <c r="G2558" i="1"/>
  <c r="F2558" i="1"/>
  <c r="G2557" i="1"/>
  <c r="F2557" i="1"/>
  <c r="G2556" i="1"/>
  <c r="F2556" i="1"/>
  <c r="G2555" i="1"/>
  <c r="F2555" i="1"/>
  <c r="G2554" i="1"/>
  <c r="F2554" i="1"/>
  <c r="G2553" i="1"/>
  <c r="F2553" i="1"/>
  <c r="G2552" i="1"/>
  <c r="F2552" i="1"/>
  <c r="G2551" i="1"/>
  <c r="F2551" i="1"/>
  <c r="G2550" i="1"/>
  <c r="F2550" i="1"/>
  <c r="G2549" i="1"/>
  <c r="F2549" i="1"/>
  <c r="G2548" i="1"/>
  <c r="F2548" i="1"/>
  <c r="G2547" i="1"/>
  <c r="F2547" i="1"/>
  <c r="G2546" i="1"/>
  <c r="F2546" i="1"/>
  <c r="G2545" i="1"/>
  <c r="F2545" i="1"/>
  <c r="G2544" i="1"/>
  <c r="F2544" i="1"/>
  <c r="G2543" i="1"/>
  <c r="F2543" i="1"/>
  <c r="G2542" i="1"/>
  <c r="F2542" i="1"/>
  <c r="G2541" i="1"/>
  <c r="F2541" i="1"/>
  <c r="G2540" i="1"/>
  <c r="F2540" i="1"/>
  <c r="G2539" i="1"/>
  <c r="F2539" i="1"/>
  <c r="G2538" i="1"/>
  <c r="F2538" i="1"/>
  <c r="G2537" i="1"/>
  <c r="F2537" i="1"/>
  <c r="G2536" i="1"/>
  <c r="F2536" i="1"/>
  <c r="G2535" i="1"/>
  <c r="F2535" i="1"/>
  <c r="G2534" i="1"/>
  <c r="F2534" i="1"/>
  <c r="G2533" i="1"/>
  <c r="F2533" i="1"/>
  <c r="G2532" i="1"/>
  <c r="F2532" i="1"/>
  <c r="G2531" i="1"/>
  <c r="F2531" i="1"/>
  <c r="G2530" i="1"/>
  <c r="F2530" i="1"/>
  <c r="G2529" i="1"/>
  <c r="F2529" i="1"/>
  <c r="G2528" i="1"/>
  <c r="F2528" i="1"/>
  <c r="G2527" i="1"/>
  <c r="F2527" i="1"/>
  <c r="G2526" i="1"/>
  <c r="F2526" i="1"/>
  <c r="G2525" i="1"/>
  <c r="F2525" i="1"/>
  <c r="G2524" i="1"/>
  <c r="F2524" i="1"/>
  <c r="G2523" i="1"/>
  <c r="F2523" i="1"/>
  <c r="G2522" i="1"/>
  <c r="F2522" i="1"/>
  <c r="G2521" i="1"/>
  <c r="F2521" i="1"/>
  <c r="G2520" i="1"/>
  <c r="F2520" i="1"/>
  <c r="G2519" i="1"/>
  <c r="F2519" i="1"/>
  <c r="G2518" i="1"/>
  <c r="F2518" i="1"/>
  <c r="G2517" i="1"/>
  <c r="F2517" i="1"/>
  <c r="G2516" i="1"/>
  <c r="F2516" i="1"/>
  <c r="G2515" i="1"/>
  <c r="F2515" i="1"/>
  <c r="G2514" i="1"/>
  <c r="F2514" i="1"/>
  <c r="G2513" i="1"/>
  <c r="F2513" i="1"/>
  <c r="G2512" i="1"/>
  <c r="F2512" i="1"/>
  <c r="G2511" i="1"/>
  <c r="F2511" i="1"/>
  <c r="G2510" i="1"/>
  <c r="F2510" i="1"/>
  <c r="G2509" i="1"/>
  <c r="F2509" i="1"/>
  <c r="G2508" i="1"/>
  <c r="F2508" i="1"/>
  <c r="G2507" i="1"/>
  <c r="F2507" i="1"/>
  <c r="G2506" i="1"/>
  <c r="F2506" i="1"/>
  <c r="G2505" i="1"/>
  <c r="F2505" i="1"/>
  <c r="G2504" i="1"/>
  <c r="F2504" i="1"/>
  <c r="G2503" i="1"/>
  <c r="F2503" i="1"/>
  <c r="G2502" i="1"/>
  <c r="F2502" i="1"/>
  <c r="G2501" i="1"/>
  <c r="F2501" i="1"/>
  <c r="G2500" i="1"/>
  <c r="F2500" i="1"/>
  <c r="G2499" i="1"/>
  <c r="F2499" i="1"/>
  <c r="G2498" i="1"/>
  <c r="F2498" i="1"/>
  <c r="G2497" i="1"/>
  <c r="F2497" i="1"/>
  <c r="G2496" i="1"/>
  <c r="F2496" i="1"/>
  <c r="G2495" i="1"/>
  <c r="F2495" i="1"/>
  <c r="G2494" i="1"/>
  <c r="F2494" i="1"/>
  <c r="G2493" i="1"/>
  <c r="F2493" i="1"/>
  <c r="G2492" i="1"/>
  <c r="F2492" i="1"/>
  <c r="G2491" i="1"/>
  <c r="F2491" i="1"/>
  <c r="G2490" i="1"/>
  <c r="F2490" i="1"/>
  <c r="G2489" i="1"/>
  <c r="F2489" i="1"/>
  <c r="G2488" i="1"/>
  <c r="F2488" i="1"/>
  <c r="G2487" i="1"/>
  <c r="F2487" i="1"/>
  <c r="G2486" i="1"/>
  <c r="F2486" i="1"/>
  <c r="G2485" i="1"/>
  <c r="F2485" i="1"/>
  <c r="G2484" i="1"/>
  <c r="F2484" i="1"/>
  <c r="G2483" i="1"/>
  <c r="F2483" i="1"/>
  <c r="G2482" i="1"/>
  <c r="F2482" i="1"/>
  <c r="G2481" i="1"/>
  <c r="F2481" i="1"/>
  <c r="G2480" i="1"/>
  <c r="F2480" i="1"/>
  <c r="G2479" i="1"/>
  <c r="F2479" i="1"/>
  <c r="G2478" i="1"/>
  <c r="F2478" i="1"/>
  <c r="G2477" i="1"/>
  <c r="F2477" i="1"/>
  <c r="G2476" i="1"/>
  <c r="F2476" i="1"/>
  <c r="G2475" i="1"/>
  <c r="F2475" i="1"/>
  <c r="G2474" i="1"/>
  <c r="F2474" i="1"/>
  <c r="G2473" i="1"/>
  <c r="F2473" i="1"/>
  <c r="G2472" i="1"/>
  <c r="F2472" i="1"/>
  <c r="G2471" i="1"/>
  <c r="F2471" i="1"/>
  <c r="G2470" i="1"/>
  <c r="F2470" i="1"/>
  <c r="G2469" i="1"/>
  <c r="F2469" i="1"/>
  <c r="G2468" i="1"/>
  <c r="F2468" i="1"/>
  <c r="G2466" i="1"/>
  <c r="F2466" i="1"/>
  <c r="G2465" i="1"/>
  <c r="F2465" i="1"/>
  <c r="G2464" i="1"/>
  <c r="F2464" i="1"/>
  <c r="G2463" i="1"/>
  <c r="F2463" i="1"/>
  <c r="G2462" i="1"/>
  <c r="F2462" i="1"/>
  <c r="G2461" i="1"/>
  <c r="F2461" i="1"/>
  <c r="G2460" i="1"/>
  <c r="F2460" i="1"/>
  <c r="F2459" i="1"/>
  <c r="F2458" i="1"/>
  <c r="G2457" i="1"/>
  <c r="F2457" i="1"/>
  <c r="F2456" i="1"/>
  <c r="G2455" i="1"/>
  <c r="F2455" i="1"/>
  <c r="G2454" i="1"/>
  <c r="F2454" i="1"/>
  <c r="G2453" i="1"/>
  <c r="F2453" i="1"/>
  <c r="G2452" i="1"/>
  <c r="F2452" i="1"/>
  <c r="G2451" i="1"/>
  <c r="F2451" i="1"/>
  <c r="G2450" i="1"/>
  <c r="F2450" i="1"/>
  <c r="G2449" i="1"/>
  <c r="F2449" i="1"/>
  <c r="G2448" i="1"/>
  <c r="F2448" i="1"/>
  <c r="G2447" i="1"/>
  <c r="F2447" i="1"/>
  <c r="G2446" i="1"/>
  <c r="F2446" i="1"/>
  <c r="G2445" i="1"/>
  <c r="F2445" i="1"/>
  <c r="G2444" i="1"/>
  <c r="F2444" i="1"/>
  <c r="G2443" i="1"/>
  <c r="F2443" i="1"/>
  <c r="G2442" i="1"/>
  <c r="F2442" i="1"/>
  <c r="G2441" i="1"/>
  <c r="F2441" i="1"/>
  <c r="G2440" i="1"/>
  <c r="F2440" i="1"/>
  <c r="G2439" i="1"/>
  <c r="F2439" i="1"/>
  <c r="G2438" i="1"/>
  <c r="F2438" i="1"/>
  <c r="G2437" i="1"/>
  <c r="F2437" i="1"/>
  <c r="G2436" i="1"/>
  <c r="F2436" i="1"/>
  <c r="G2435" i="1"/>
  <c r="F2435" i="1"/>
  <c r="G2434" i="1"/>
  <c r="F2434" i="1"/>
  <c r="G2433" i="1"/>
  <c r="F2433" i="1"/>
  <c r="G2432" i="1"/>
  <c r="F2432" i="1"/>
  <c r="G2431" i="1"/>
  <c r="F2431" i="1"/>
  <c r="G2430" i="1"/>
  <c r="F2430" i="1"/>
  <c r="G2429" i="1"/>
  <c r="F2429" i="1"/>
  <c r="G2428" i="1"/>
  <c r="F2428" i="1"/>
  <c r="G2427" i="1"/>
  <c r="F2427" i="1"/>
  <c r="G2426" i="1"/>
  <c r="F2426" i="1"/>
  <c r="G2425" i="1"/>
  <c r="F2425" i="1"/>
  <c r="G2424" i="1"/>
  <c r="F2424" i="1"/>
  <c r="G2423" i="1"/>
  <c r="F2423" i="1"/>
  <c r="G2422" i="1"/>
  <c r="F2422" i="1"/>
  <c r="G2421" i="1"/>
  <c r="F2421" i="1"/>
  <c r="G2420" i="1"/>
  <c r="F2420" i="1"/>
  <c r="G2419" i="1"/>
  <c r="F2419" i="1"/>
  <c r="G2418" i="1"/>
  <c r="F2418" i="1"/>
  <c r="G2417" i="1"/>
  <c r="F2417" i="1"/>
  <c r="G2416" i="1"/>
  <c r="F2416" i="1"/>
  <c r="G2415" i="1"/>
  <c r="F2415" i="1"/>
  <c r="G2414" i="1"/>
  <c r="F2414" i="1"/>
  <c r="G2413" i="1"/>
  <c r="F2413" i="1"/>
  <c r="G2412" i="1"/>
  <c r="F2412" i="1"/>
  <c r="G2411" i="1"/>
  <c r="F2411" i="1"/>
  <c r="G2410" i="1"/>
  <c r="F2410" i="1"/>
  <c r="G2409" i="1"/>
  <c r="F2409" i="1"/>
  <c r="G2408" i="1"/>
  <c r="F2408" i="1"/>
  <c r="G2407" i="1"/>
  <c r="F2407" i="1"/>
  <c r="G2406" i="1"/>
  <c r="F2406" i="1"/>
  <c r="G2405" i="1"/>
  <c r="F2405" i="1"/>
  <c r="G2404" i="1"/>
  <c r="F2404" i="1"/>
  <c r="G2403" i="1"/>
  <c r="F2403" i="1"/>
  <c r="G2402" i="1"/>
  <c r="F2402" i="1"/>
  <c r="G2401" i="1"/>
  <c r="F2401" i="1"/>
  <c r="G2400" i="1"/>
  <c r="F2400" i="1"/>
  <c r="G2399" i="1"/>
  <c r="F2399" i="1"/>
  <c r="G2398" i="1"/>
  <c r="F2398" i="1"/>
  <c r="G2397" i="1"/>
  <c r="F2397" i="1"/>
  <c r="G2396" i="1"/>
  <c r="F2396" i="1"/>
  <c r="G2395" i="1"/>
  <c r="F2395" i="1"/>
  <c r="G2394" i="1"/>
  <c r="F2394" i="1"/>
  <c r="G2393" i="1"/>
  <c r="F2393" i="1"/>
  <c r="G2392" i="1"/>
  <c r="F2392" i="1"/>
  <c r="G2391" i="1"/>
  <c r="F2391" i="1"/>
  <c r="G2390" i="1"/>
  <c r="F2390" i="1"/>
  <c r="G2389" i="1"/>
  <c r="F2389" i="1"/>
  <c r="G2388" i="1"/>
  <c r="F2388" i="1"/>
  <c r="G2387" i="1"/>
  <c r="F2387" i="1"/>
  <c r="G2386" i="1"/>
  <c r="F2386" i="1"/>
  <c r="G2385" i="1"/>
  <c r="F2385" i="1"/>
  <c r="G2384" i="1"/>
  <c r="F2384" i="1"/>
  <c r="G2383" i="1"/>
  <c r="F2383" i="1"/>
  <c r="G2382" i="1"/>
  <c r="F2382" i="1"/>
  <c r="G2381" i="1"/>
  <c r="F2381" i="1"/>
  <c r="G2380" i="1"/>
  <c r="F2380" i="1"/>
  <c r="G2379" i="1"/>
  <c r="F2379" i="1"/>
  <c r="G2378" i="1"/>
  <c r="F2378" i="1"/>
  <c r="G2377" i="1"/>
  <c r="F2377" i="1"/>
  <c r="G2376" i="1"/>
  <c r="F2376" i="1"/>
  <c r="G2375" i="1"/>
  <c r="F2375" i="1"/>
  <c r="G2374" i="1"/>
  <c r="F2374" i="1"/>
  <c r="G2373" i="1"/>
  <c r="F2373" i="1"/>
  <c r="G2372" i="1"/>
  <c r="F2372" i="1"/>
  <c r="G2371" i="1"/>
  <c r="F2371" i="1"/>
  <c r="G2370" i="1"/>
  <c r="F2370" i="1"/>
  <c r="G2369" i="1"/>
  <c r="F2369" i="1"/>
  <c r="G2368" i="1"/>
  <c r="F2368" i="1"/>
  <c r="G2367" i="1"/>
  <c r="F2367" i="1"/>
  <c r="G2366" i="1"/>
  <c r="F2366" i="1"/>
  <c r="G2365" i="1"/>
  <c r="F2365" i="1"/>
  <c r="G2364" i="1"/>
  <c r="F2364" i="1"/>
  <c r="G2363" i="1"/>
  <c r="F2363" i="1"/>
  <c r="G2362" i="1"/>
  <c r="F2362" i="1"/>
  <c r="G2361" i="1"/>
  <c r="F2361" i="1"/>
  <c r="G2360" i="1"/>
  <c r="F2360" i="1"/>
  <c r="G2359" i="1"/>
  <c r="F2359" i="1"/>
  <c r="G2358" i="1"/>
  <c r="F2358" i="1"/>
  <c r="G2357" i="1"/>
  <c r="F2357" i="1"/>
  <c r="G2356" i="1"/>
  <c r="F2356" i="1"/>
  <c r="G2355" i="1"/>
  <c r="F2355" i="1"/>
  <c r="G2354" i="1"/>
  <c r="F2354" i="1"/>
  <c r="G2353" i="1"/>
  <c r="F2353" i="1"/>
  <c r="G2352" i="1"/>
  <c r="F2352" i="1"/>
  <c r="G2351" i="1"/>
  <c r="F2351" i="1"/>
  <c r="G2350" i="1"/>
  <c r="F2350" i="1"/>
  <c r="G2349" i="1"/>
  <c r="F2349" i="1"/>
  <c r="G2348" i="1"/>
  <c r="F2348" i="1"/>
  <c r="G2347" i="1"/>
  <c r="F2347" i="1"/>
  <c r="G2346" i="1"/>
  <c r="F2346" i="1"/>
  <c r="G2345" i="1"/>
  <c r="F2345" i="1"/>
  <c r="G2344" i="1"/>
  <c r="F2344" i="1"/>
  <c r="G2343" i="1"/>
  <c r="F2343" i="1"/>
  <c r="G2342" i="1"/>
  <c r="F2342" i="1"/>
  <c r="G2341" i="1"/>
  <c r="F2341" i="1"/>
  <c r="G2340" i="1"/>
  <c r="F2340" i="1"/>
  <c r="G2339" i="1"/>
  <c r="F2339" i="1"/>
  <c r="G2338" i="1"/>
  <c r="F2338" i="1"/>
  <c r="G2337" i="1"/>
  <c r="F2337" i="1"/>
  <c r="G2335" i="1"/>
  <c r="F2335" i="1"/>
  <c r="G2334" i="1"/>
  <c r="F2334" i="1"/>
  <c r="G2333" i="1"/>
  <c r="F2333" i="1"/>
  <c r="G2332" i="1"/>
  <c r="F2332" i="1"/>
  <c r="G2331" i="1"/>
  <c r="F2331" i="1"/>
  <c r="G2330" i="1"/>
  <c r="F2330" i="1"/>
  <c r="G2329" i="1"/>
  <c r="F2329" i="1"/>
  <c r="G2328" i="1"/>
  <c r="F2328" i="1"/>
  <c r="G2326" i="1"/>
  <c r="F2326" i="1"/>
  <c r="G2325" i="1"/>
  <c r="F2325" i="1"/>
  <c r="G2324" i="1"/>
  <c r="F2324" i="1"/>
  <c r="G2323" i="1"/>
  <c r="F2323" i="1"/>
  <c r="G2322" i="1"/>
  <c r="F2322" i="1"/>
  <c r="G2321" i="1"/>
  <c r="F2321" i="1"/>
  <c r="G2320" i="1"/>
  <c r="F2320" i="1"/>
  <c r="G2319" i="1"/>
  <c r="F2319" i="1"/>
  <c r="G2318" i="1"/>
  <c r="F2318" i="1"/>
  <c r="G2317" i="1"/>
  <c r="F2317" i="1"/>
  <c r="G2316" i="1"/>
  <c r="F2316" i="1"/>
  <c r="G2315" i="1"/>
  <c r="F2315" i="1"/>
  <c r="G2314" i="1"/>
  <c r="F2314" i="1"/>
  <c r="G2313" i="1"/>
  <c r="F2313" i="1"/>
  <c r="G2312" i="1"/>
  <c r="F2312" i="1"/>
  <c r="G2311" i="1"/>
  <c r="F2311" i="1"/>
  <c r="G2310" i="1"/>
  <c r="F2310" i="1"/>
  <c r="G2309" i="1"/>
  <c r="F2309" i="1"/>
  <c r="G2308" i="1"/>
  <c r="F2308" i="1"/>
  <c r="G2307" i="1"/>
  <c r="F2307" i="1"/>
  <c r="G2306" i="1"/>
  <c r="F2306" i="1"/>
  <c r="G2305" i="1"/>
  <c r="F2305" i="1"/>
  <c r="G2304" i="1"/>
  <c r="F2304" i="1"/>
  <c r="G2303" i="1"/>
  <c r="F2303" i="1"/>
  <c r="G2302" i="1"/>
  <c r="F2302" i="1"/>
  <c r="G2301" i="1"/>
  <c r="F2301" i="1"/>
  <c r="G2300" i="1"/>
  <c r="F2300" i="1"/>
  <c r="G2299" i="1"/>
  <c r="F2299" i="1"/>
  <c r="G2298" i="1"/>
  <c r="F2298" i="1"/>
  <c r="G2297" i="1"/>
  <c r="F2297" i="1"/>
  <c r="G2296" i="1"/>
  <c r="F2296" i="1"/>
  <c r="G2295" i="1"/>
  <c r="F2295" i="1"/>
  <c r="G2294" i="1"/>
  <c r="F2294" i="1"/>
  <c r="G2293" i="1"/>
  <c r="F2293" i="1"/>
  <c r="G2292" i="1"/>
  <c r="F2292" i="1"/>
  <c r="G2291" i="1"/>
  <c r="F2291" i="1"/>
  <c r="G2290" i="1"/>
  <c r="F2290" i="1"/>
  <c r="G2288" i="1"/>
  <c r="F2288" i="1"/>
  <c r="G2287" i="1"/>
  <c r="F2287" i="1"/>
  <c r="G2286" i="1"/>
  <c r="F2286" i="1"/>
  <c r="G2285" i="1"/>
  <c r="F2285" i="1"/>
  <c r="G2284" i="1"/>
  <c r="F2284" i="1"/>
  <c r="G2283" i="1"/>
  <c r="F2283" i="1"/>
  <c r="G2282" i="1"/>
  <c r="F2282" i="1"/>
  <c r="G2281" i="1"/>
  <c r="F2281" i="1"/>
  <c r="G2280" i="1"/>
  <c r="F2280" i="1"/>
  <c r="G2279" i="1"/>
  <c r="F2279" i="1"/>
  <c r="G2278" i="1"/>
  <c r="F2278" i="1"/>
  <c r="G2277" i="1"/>
  <c r="F2277" i="1"/>
  <c r="G2276" i="1"/>
  <c r="F2276" i="1"/>
  <c r="G2275" i="1"/>
  <c r="F2275" i="1"/>
  <c r="G2274" i="1"/>
  <c r="F2274" i="1"/>
  <c r="G2273" i="1"/>
  <c r="F2273" i="1"/>
  <c r="G2272" i="1"/>
  <c r="F2272" i="1"/>
  <c r="G2271" i="1"/>
  <c r="F2271" i="1"/>
  <c r="G2270" i="1"/>
  <c r="F2270" i="1"/>
  <c r="G2269" i="1"/>
  <c r="F2269" i="1"/>
  <c r="G2268" i="1"/>
  <c r="F2268" i="1"/>
  <c r="G2267" i="1"/>
  <c r="F2267" i="1"/>
  <c r="G2266" i="1"/>
  <c r="F2266" i="1"/>
  <c r="G2265" i="1"/>
  <c r="F2265" i="1"/>
  <c r="G2264" i="1"/>
  <c r="F2264" i="1"/>
  <c r="G2263" i="1"/>
  <c r="F2263" i="1"/>
  <c r="G2262" i="1"/>
  <c r="F2262" i="1"/>
  <c r="G2261" i="1"/>
  <c r="F2261" i="1"/>
  <c r="G2260" i="1"/>
  <c r="F2260" i="1"/>
  <c r="G2259" i="1"/>
  <c r="F2259" i="1"/>
  <c r="G2258" i="1"/>
  <c r="F2258" i="1"/>
  <c r="G2256" i="1"/>
  <c r="F2256" i="1"/>
  <c r="G2255" i="1"/>
  <c r="F2255" i="1"/>
  <c r="G2254" i="1"/>
  <c r="F2254" i="1"/>
  <c r="G2253" i="1"/>
  <c r="F2253" i="1"/>
  <c r="G2252" i="1"/>
  <c r="F2252" i="1"/>
  <c r="G2251" i="1"/>
  <c r="F2251" i="1"/>
  <c r="G2250" i="1"/>
  <c r="F2250" i="1"/>
  <c r="G2249" i="1"/>
  <c r="F2249" i="1"/>
  <c r="G2248" i="1"/>
  <c r="F2248" i="1"/>
  <c r="G2247" i="1"/>
  <c r="F2247" i="1"/>
  <c r="G2246" i="1"/>
  <c r="F2246" i="1"/>
  <c r="G2245" i="1"/>
  <c r="F2245" i="1"/>
  <c r="G2244" i="1"/>
  <c r="F2244" i="1"/>
  <c r="G2243" i="1"/>
  <c r="F2243" i="1"/>
  <c r="G2242" i="1"/>
  <c r="F2242" i="1"/>
  <c r="G2241" i="1"/>
  <c r="F2241" i="1"/>
  <c r="G2240" i="1"/>
  <c r="F2240" i="1"/>
  <c r="G2239" i="1"/>
  <c r="F2239" i="1"/>
  <c r="G2238" i="1"/>
  <c r="F2238" i="1"/>
  <c r="G2237" i="1"/>
  <c r="F2237" i="1"/>
  <c r="G2236" i="1"/>
  <c r="F2236" i="1"/>
  <c r="G2235" i="1"/>
  <c r="F2235" i="1"/>
  <c r="G2234" i="1"/>
  <c r="F2234" i="1"/>
  <c r="G2233" i="1"/>
  <c r="F2233" i="1"/>
  <c r="G2232" i="1"/>
  <c r="F2232" i="1"/>
  <c r="G2231" i="1"/>
  <c r="F2231" i="1"/>
  <c r="G2230" i="1"/>
  <c r="F2230" i="1"/>
  <c r="G2229" i="1"/>
  <c r="F2229" i="1"/>
  <c r="G2228" i="1"/>
  <c r="F2228" i="1"/>
  <c r="G2227" i="1"/>
  <c r="F2227" i="1"/>
  <c r="G2226" i="1"/>
  <c r="F2226" i="1"/>
  <c r="G2225" i="1"/>
  <c r="F2225" i="1"/>
  <c r="G2224" i="1"/>
  <c r="F2224" i="1"/>
  <c r="G2223" i="1"/>
  <c r="F2223" i="1"/>
  <c r="G2222" i="1"/>
  <c r="F2222" i="1"/>
  <c r="G2221" i="1"/>
  <c r="F2221" i="1"/>
  <c r="G2220" i="1"/>
  <c r="F2220" i="1"/>
  <c r="G2219" i="1"/>
  <c r="F2219" i="1"/>
  <c r="G2218" i="1"/>
  <c r="F2218" i="1"/>
  <c r="G2217" i="1"/>
  <c r="F2217" i="1"/>
  <c r="G2216" i="1"/>
  <c r="F2216" i="1"/>
  <c r="G2215" i="1"/>
  <c r="F2215" i="1"/>
  <c r="G2214" i="1"/>
  <c r="F2214" i="1"/>
  <c r="G2213" i="1"/>
  <c r="F2213" i="1"/>
  <c r="G2212" i="1"/>
  <c r="F2212" i="1"/>
  <c r="G2211" i="1"/>
  <c r="F2211" i="1"/>
  <c r="G2210" i="1"/>
  <c r="F2210" i="1"/>
  <c r="G2209" i="1"/>
  <c r="F2209" i="1"/>
  <c r="G2208" i="1"/>
  <c r="F2208" i="1"/>
  <c r="G2207" i="1"/>
  <c r="F2207" i="1"/>
  <c r="G2206" i="1"/>
  <c r="F2206" i="1"/>
  <c r="G2205" i="1"/>
  <c r="F2205" i="1"/>
  <c r="G2204" i="1"/>
  <c r="F2204" i="1"/>
  <c r="G2203" i="1"/>
  <c r="F2203" i="1"/>
  <c r="G2202" i="1"/>
  <c r="F2202" i="1"/>
  <c r="G2201" i="1"/>
  <c r="F2201" i="1"/>
  <c r="G2200" i="1"/>
  <c r="F2200" i="1"/>
  <c r="G2199" i="1"/>
  <c r="F2199" i="1"/>
  <c r="G2198" i="1"/>
  <c r="F2198" i="1"/>
  <c r="G2197" i="1"/>
  <c r="F2197" i="1"/>
  <c r="G2196" i="1"/>
  <c r="F2196" i="1"/>
  <c r="G2195" i="1"/>
  <c r="F2195" i="1"/>
  <c r="G2194" i="1"/>
  <c r="F2194" i="1"/>
  <c r="G2193" i="1"/>
  <c r="F2193" i="1"/>
  <c r="G2192" i="1"/>
  <c r="F2192" i="1"/>
  <c r="G2191" i="1"/>
  <c r="F2191" i="1"/>
  <c r="G2190" i="1"/>
  <c r="F2190" i="1"/>
  <c r="G2189" i="1"/>
  <c r="F2189" i="1"/>
  <c r="G2188" i="1"/>
  <c r="F2188" i="1"/>
  <c r="G2187" i="1"/>
  <c r="F2187" i="1"/>
  <c r="G2186" i="1"/>
  <c r="F2186" i="1"/>
  <c r="G2185" i="1"/>
  <c r="F2185" i="1"/>
  <c r="G2184" i="1"/>
  <c r="F2184" i="1"/>
  <c r="G2183" i="1"/>
  <c r="F2183" i="1"/>
  <c r="G2182" i="1"/>
  <c r="F2182" i="1"/>
  <c r="G2181" i="1"/>
  <c r="F2181" i="1"/>
  <c r="G2180" i="1"/>
  <c r="F2180" i="1"/>
  <c r="G2179" i="1"/>
  <c r="F2179" i="1"/>
  <c r="G2178" i="1"/>
  <c r="F2178" i="1"/>
  <c r="G2177" i="1"/>
  <c r="F2177" i="1"/>
  <c r="G2176" i="1"/>
  <c r="F2176" i="1"/>
  <c r="G2175" i="1"/>
  <c r="F2175" i="1"/>
  <c r="G2174" i="1"/>
  <c r="F2174" i="1"/>
  <c r="G2173" i="1"/>
  <c r="F2173" i="1"/>
  <c r="G2172" i="1"/>
  <c r="F2172" i="1"/>
  <c r="G2171" i="1"/>
  <c r="F2171" i="1"/>
  <c r="G2170" i="1"/>
  <c r="F2170" i="1"/>
  <c r="G2169" i="1"/>
  <c r="F2169" i="1"/>
  <c r="G2168" i="1"/>
  <c r="F2168" i="1"/>
  <c r="G2167" i="1"/>
  <c r="F2167" i="1"/>
  <c r="G2166" i="1"/>
  <c r="F2166" i="1"/>
  <c r="G2165" i="1"/>
  <c r="F2165" i="1"/>
  <c r="G2164" i="1"/>
  <c r="F2164" i="1"/>
  <c r="G2163" i="1"/>
  <c r="F2163" i="1"/>
  <c r="G2162" i="1"/>
  <c r="F2162" i="1"/>
  <c r="G2161" i="1"/>
  <c r="F2161" i="1"/>
  <c r="G2160" i="1"/>
  <c r="F2160" i="1"/>
  <c r="G2159" i="1"/>
  <c r="F2159" i="1"/>
  <c r="G2158" i="1"/>
  <c r="F2158" i="1"/>
  <c r="G2157" i="1"/>
  <c r="F2157" i="1"/>
  <c r="G2156" i="1"/>
  <c r="F2156" i="1"/>
  <c r="G2155" i="1"/>
  <c r="F2155" i="1"/>
  <c r="G2154" i="1"/>
  <c r="F2154" i="1"/>
  <c r="G2153" i="1"/>
  <c r="F2153" i="1"/>
  <c r="G2152" i="1"/>
  <c r="F2152" i="1"/>
  <c r="G2151" i="1"/>
  <c r="F2151" i="1"/>
  <c r="G2150" i="1"/>
  <c r="F2150" i="1"/>
  <c r="G2149" i="1"/>
  <c r="F2149" i="1"/>
  <c r="G2148" i="1"/>
  <c r="F2148" i="1"/>
  <c r="G2147" i="1"/>
  <c r="F2147" i="1"/>
  <c r="G2146" i="1"/>
  <c r="F2146" i="1"/>
  <c r="G2145" i="1"/>
  <c r="F2145" i="1"/>
  <c r="G2144" i="1"/>
  <c r="F2144" i="1"/>
  <c r="G2143" i="1"/>
  <c r="F2143" i="1"/>
  <c r="G2142" i="1"/>
  <c r="F2142" i="1"/>
  <c r="G2141" i="1"/>
  <c r="F2141" i="1"/>
  <c r="G2140" i="1"/>
  <c r="F2140" i="1"/>
  <c r="G2139" i="1"/>
  <c r="F2139" i="1"/>
  <c r="G2138" i="1"/>
  <c r="F2138" i="1"/>
  <c r="G2137" i="1"/>
  <c r="F2137" i="1"/>
  <c r="G2136" i="1"/>
  <c r="F2136" i="1"/>
  <c r="G2135" i="1"/>
  <c r="F2135" i="1"/>
  <c r="G2134" i="1"/>
  <c r="F2134" i="1"/>
  <c r="G2133" i="1"/>
  <c r="F2133" i="1"/>
  <c r="G2132" i="1"/>
  <c r="F2132" i="1"/>
  <c r="G2131" i="1"/>
  <c r="F2131" i="1"/>
  <c r="G2130" i="1"/>
  <c r="F2130" i="1"/>
  <c r="G2129" i="1"/>
  <c r="F2129" i="1"/>
  <c r="G2128" i="1"/>
  <c r="F2128" i="1"/>
  <c r="G2127" i="1"/>
  <c r="F2127" i="1"/>
  <c r="G2126" i="1"/>
  <c r="F2126" i="1"/>
  <c r="G2125" i="1"/>
  <c r="F2125" i="1"/>
  <c r="G2124" i="1"/>
  <c r="F2124" i="1"/>
  <c r="G2123" i="1"/>
  <c r="F2123" i="1"/>
  <c r="G2122" i="1"/>
  <c r="F2122" i="1"/>
  <c r="G2121" i="1"/>
  <c r="F2121" i="1"/>
  <c r="G2120" i="1"/>
  <c r="F2120" i="1"/>
  <c r="G2119" i="1"/>
  <c r="F2119" i="1"/>
  <c r="G2118" i="1"/>
  <c r="F2118" i="1"/>
  <c r="G2117" i="1"/>
  <c r="F2117" i="1"/>
  <c r="G2116" i="1"/>
  <c r="F2116" i="1"/>
  <c r="G2114" i="1"/>
  <c r="F2114" i="1"/>
  <c r="G2113" i="1"/>
  <c r="F2113" i="1"/>
  <c r="G2112" i="1"/>
  <c r="F2112" i="1"/>
  <c r="G2111" i="1"/>
  <c r="F2111" i="1"/>
  <c r="G2110" i="1"/>
  <c r="F2110" i="1"/>
  <c r="G2109" i="1"/>
  <c r="F2109" i="1"/>
  <c r="G2108" i="1"/>
  <c r="F2108" i="1"/>
  <c r="G2107" i="1"/>
  <c r="F2107" i="1"/>
  <c r="G2106" i="1"/>
  <c r="F2106" i="1"/>
  <c r="G2105" i="1"/>
  <c r="F2105" i="1"/>
  <c r="G2104" i="1"/>
  <c r="F2104" i="1"/>
  <c r="G2103" i="1"/>
  <c r="F2103" i="1"/>
  <c r="G2102" i="1"/>
  <c r="F2102" i="1"/>
  <c r="G2101" i="1"/>
  <c r="F2101" i="1"/>
  <c r="G2100" i="1"/>
  <c r="F2100" i="1"/>
  <c r="G2099" i="1"/>
  <c r="F2099" i="1"/>
  <c r="G2098" i="1"/>
  <c r="F2098" i="1"/>
  <c r="G2097" i="1"/>
  <c r="F2097" i="1"/>
  <c r="G2096" i="1"/>
  <c r="F2096" i="1"/>
  <c r="G2095" i="1"/>
  <c r="F2095" i="1"/>
  <c r="G2094" i="1"/>
  <c r="F2094" i="1"/>
  <c r="G2093" i="1"/>
  <c r="F2093" i="1"/>
  <c r="G2092" i="1"/>
  <c r="F2092" i="1"/>
  <c r="G2091" i="1"/>
  <c r="F2091" i="1"/>
  <c r="G2090" i="1"/>
  <c r="F2090" i="1"/>
  <c r="G2089" i="1"/>
  <c r="F2089" i="1"/>
  <c r="G2088" i="1"/>
  <c r="F2088" i="1"/>
  <c r="G2087" i="1"/>
  <c r="F2087" i="1"/>
  <c r="G2085" i="1"/>
  <c r="F2085" i="1"/>
  <c r="G2084" i="1"/>
  <c r="F2084" i="1"/>
  <c r="G2083" i="1"/>
  <c r="F2083" i="1"/>
  <c r="G2082" i="1"/>
  <c r="F2082" i="1"/>
  <c r="G2081" i="1"/>
  <c r="F2081" i="1"/>
  <c r="G2080" i="1"/>
  <c r="F2080" i="1"/>
  <c r="G2079" i="1"/>
  <c r="F2079" i="1"/>
  <c r="G2078" i="1"/>
  <c r="F2078" i="1"/>
  <c r="G2077" i="1"/>
  <c r="F2077" i="1"/>
  <c r="G2076" i="1"/>
  <c r="F2076" i="1"/>
  <c r="G2075" i="1"/>
  <c r="F2075" i="1"/>
  <c r="G2074" i="1"/>
  <c r="F2074" i="1"/>
  <c r="G2073" i="1"/>
  <c r="F2073" i="1"/>
  <c r="G2072" i="1"/>
  <c r="F2072" i="1"/>
  <c r="G2071" i="1"/>
  <c r="F2071" i="1"/>
  <c r="G2070" i="1"/>
  <c r="F2070" i="1"/>
  <c r="G2069" i="1"/>
  <c r="F2069" i="1"/>
  <c r="G2068" i="1"/>
  <c r="F2068" i="1"/>
  <c r="G2067" i="1"/>
  <c r="F2067" i="1"/>
  <c r="G2066" i="1"/>
  <c r="F2066" i="1"/>
  <c r="G2065" i="1"/>
  <c r="F2065" i="1"/>
  <c r="G2064" i="1"/>
  <c r="F2064" i="1"/>
  <c r="G2063" i="1"/>
  <c r="F2063" i="1"/>
  <c r="G2062" i="1"/>
  <c r="F2062" i="1"/>
  <c r="G2061" i="1"/>
  <c r="F2061" i="1"/>
  <c r="G2060" i="1"/>
  <c r="F2060" i="1"/>
  <c r="G2059" i="1"/>
  <c r="F2059" i="1"/>
  <c r="G2058" i="1"/>
  <c r="F2058" i="1"/>
  <c r="G2057" i="1"/>
  <c r="F2057" i="1"/>
  <c r="G2056" i="1"/>
  <c r="F2056" i="1"/>
  <c r="G2055" i="1"/>
  <c r="F2055" i="1"/>
  <c r="G2054" i="1"/>
  <c r="F2054" i="1"/>
  <c r="G2053" i="1"/>
  <c r="F2053" i="1"/>
  <c r="G2052" i="1"/>
  <c r="F2052" i="1"/>
  <c r="G2051" i="1"/>
  <c r="F2051" i="1"/>
  <c r="G2050" i="1"/>
  <c r="F2050" i="1"/>
  <c r="G2049" i="1"/>
  <c r="F2049" i="1"/>
  <c r="G2048" i="1"/>
  <c r="F2048" i="1"/>
  <c r="G2047" i="1"/>
  <c r="F2047" i="1"/>
  <c r="G2046" i="1"/>
  <c r="F2046" i="1"/>
  <c r="G2045" i="1"/>
  <c r="F2045" i="1"/>
  <c r="G2044" i="1"/>
  <c r="F2044" i="1"/>
  <c r="G2043" i="1"/>
  <c r="F2043" i="1"/>
  <c r="G2042" i="1"/>
  <c r="F2042" i="1"/>
  <c r="G2041" i="1"/>
  <c r="F2041" i="1"/>
  <c r="G2040" i="1"/>
  <c r="F2040" i="1"/>
  <c r="G2039" i="1"/>
  <c r="F2039" i="1"/>
  <c r="G2038" i="1"/>
  <c r="F2038" i="1"/>
  <c r="G2037" i="1"/>
  <c r="F2037" i="1"/>
  <c r="G2036" i="1"/>
  <c r="F2036" i="1"/>
  <c r="G2035" i="1"/>
  <c r="F2035" i="1"/>
  <c r="G2034" i="1"/>
  <c r="F2034" i="1"/>
  <c r="G2033" i="1"/>
  <c r="F2033" i="1"/>
  <c r="G2032" i="1"/>
  <c r="F2032" i="1"/>
  <c r="G2031" i="1"/>
  <c r="F2031" i="1"/>
  <c r="G2030" i="1"/>
  <c r="F2030" i="1"/>
  <c r="G2029" i="1"/>
  <c r="F2029" i="1"/>
  <c r="G2028" i="1"/>
  <c r="F2028" i="1"/>
  <c r="G2027" i="1"/>
  <c r="F2027" i="1"/>
  <c r="G2026" i="1"/>
  <c r="F2026" i="1"/>
  <c r="G2025" i="1"/>
  <c r="F2025" i="1"/>
  <c r="G2024" i="1"/>
  <c r="F2024" i="1"/>
  <c r="G2023" i="1"/>
  <c r="F2023" i="1"/>
  <c r="G2022" i="1"/>
  <c r="F2022" i="1"/>
  <c r="G2021" i="1"/>
  <c r="F2021" i="1"/>
  <c r="G2020" i="1"/>
  <c r="F2020" i="1"/>
  <c r="G2019" i="1"/>
  <c r="F2019" i="1"/>
  <c r="G2018" i="1"/>
  <c r="F2018" i="1"/>
  <c r="G2017" i="1"/>
  <c r="F2017" i="1"/>
  <c r="G2016" i="1"/>
  <c r="F2016" i="1"/>
  <c r="G2015" i="1"/>
  <c r="F2015" i="1"/>
  <c r="G2014" i="1"/>
  <c r="F2014" i="1"/>
  <c r="G2013" i="1"/>
  <c r="F2013" i="1"/>
  <c r="G2012" i="1"/>
  <c r="F2012" i="1"/>
  <c r="G2011" i="1"/>
  <c r="F2011" i="1"/>
  <c r="G2010" i="1"/>
  <c r="F2010" i="1"/>
  <c r="G2009" i="1"/>
  <c r="F2009" i="1"/>
  <c r="G2008" i="1"/>
  <c r="F2008" i="1"/>
  <c r="G2007" i="1"/>
  <c r="F2007" i="1"/>
  <c r="G2006" i="1"/>
  <c r="F2006" i="1"/>
  <c r="G2005" i="1"/>
  <c r="F2005" i="1"/>
  <c r="G2004" i="1"/>
  <c r="F2004" i="1"/>
  <c r="G2003" i="1"/>
  <c r="F2003" i="1"/>
  <c r="G2002" i="1"/>
  <c r="F2002" i="1"/>
  <c r="G2001" i="1"/>
  <c r="F2001" i="1"/>
  <c r="G2000" i="1"/>
  <c r="F2000" i="1"/>
  <c r="G1999" i="1"/>
  <c r="F1999" i="1"/>
  <c r="G1998" i="1"/>
  <c r="F1998" i="1"/>
  <c r="G1997" i="1"/>
  <c r="F1997" i="1"/>
  <c r="G1996" i="1"/>
  <c r="F1996" i="1"/>
  <c r="G1995" i="1"/>
  <c r="F1995" i="1"/>
  <c r="G1994" i="1"/>
  <c r="F1994" i="1"/>
  <c r="G1993" i="1"/>
  <c r="F1993" i="1"/>
  <c r="G1992" i="1"/>
  <c r="F1992" i="1"/>
  <c r="G1991" i="1"/>
  <c r="F1991" i="1"/>
  <c r="G1990" i="1"/>
  <c r="F1990" i="1"/>
  <c r="G1989" i="1"/>
  <c r="F1989" i="1"/>
  <c r="G1988" i="1"/>
  <c r="F1988" i="1"/>
  <c r="G1987" i="1"/>
  <c r="F1987" i="1"/>
  <c r="G1986" i="1"/>
  <c r="F1986" i="1"/>
  <c r="G1985" i="1"/>
  <c r="F1985" i="1"/>
  <c r="G1984" i="1"/>
  <c r="F1984" i="1"/>
  <c r="G1983" i="1"/>
  <c r="F1983" i="1"/>
  <c r="G1982" i="1"/>
  <c r="F1982" i="1"/>
  <c r="G1981" i="1"/>
  <c r="F1981" i="1"/>
  <c r="G1980" i="1"/>
  <c r="F1980" i="1"/>
  <c r="G1979" i="1"/>
  <c r="F1979" i="1"/>
  <c r="G1978" i="1"/>
  <c r="F1978" i="1"/>
  <c r="G1977" i="1"/>
  <c r="F1977" i="1"/>
  <c r="G1976" i="1"/>
  <c r="F1976" i="1"/>
  <c r="G1975" i="1"/>
  <c r="F1975" i="1"/>
  <c r="G1974" i="1"/>
  <c r="F1974" i="1"/>
  <c r="G1973" i="1"/>
  <c r="F1973" i="1"/>
  <c r="G1972" i="1"/>
  <c r="F1972" i="1"/>
  <c r="G1971" i="1"/>
  <c r="F1971" i="1"/>
  <c r="G1970" i="1"/>
  <c r="F1970" i="1"/>
  <c r="G1969" i="1"/>
  <c r="F1969" i="1"/>
  <c r="G1968" i="1"/>
  <c r="F1968" i="1"/>
  <c r="G1967" i="1"/>
  <c r="F1967" i="1"/>
  <c r="G1966" i="1"/>
  <c r="F1966" i="1"/>
  <c r="G1965" i="1"/>
  <c r="F1965" i="1"/>
  <c r="G1964" i="1"/>
  <c r="F1964" i="1"/>
  <c r="G1963" i="1"/>
  <c r="F1963" i="1"/>
  <c r="G1962" i="1"/>
  <c r="F1962" i="1"/>
  <c r="G1961" i="1"/>
  <c r="F1961" i="1"/>
  <c r="G1960" i="1"/>
  <c r="F1960" i="1"/>
  <c r="G1959" i="1"/>
  <c r="F1959" i="1"/>
  <c r="G1958" i="1"/>
  <c r="F1958" i="1"/>
  <c r="G1957" i="1"/>
  <c r="F1957" i="1"/>
  <c r="G1956" i="1"/>
  <c r="F1956" i="1"/>
  <c r="G1955" i="1"/>
  <c r="F1955" i="1"/>
  <c r="G1954" i="1"/>
  <c r="F1954" i="1"/>
  <c r="G1953" i="1"/>
  <c r="F1953" i="1"/>
  <c r="G1952" i="1"/>
  <c r="F1952" i="1"/>
  <c r="G1951" i="1"/>
  <c r="F1951" i="1"/>
  <c r="G1950" i="1"/>
  <c r="F1950" i="1"/>
  <c r="G1949" i="1"/>
  <c r="F1949" i="1"/>
  <c r="G1948" i="1"/>
  <c r="F1948" i="1"/>
  <c r="G1947" i="1"/>
  <c r="F1947" i="1"/>
  <c r="G1946" i="1"/>
  <c r="F1946" i="1"/>
  <c r="G1945" i="1"/>
  <c r="F1945" i="1"/>
  <c r="G1944" i="1"/>
  <c r="F1944" i="1"/>
  <c r="G1943" i="1"/>
  <c r="F1943" i="1"/>
  <c r="G1942" i="1"/>
  <c r="F1942" i="1"/>
  <c r="G1941" i="1"/>
  <c r="F1941" i="1"/>
  <c r="G1940" i="1"/>
  <c r="F1940" i="1"/>
  <c r="G1939" i="1"/>
  <c r="F1939" i="1"/>
  <c r="G1938" i="1"/>
  <c r="F1938" i="1"/>
  <c r="G1937" i="1"/>
  <c r="F1937" i="1"/>
  <c r="G1936" i="1"/>
  <c r="F1936" i="1"/>
  <c r="G1935" i="1"/>
  <c r="F1935" i="1"/>
  <c r="G1934" i="1"/>
  <c r="F1934" i="1"/>
  <c r="G1933" i="1"/>
  <c r="F1933" i="1"/>
  <c r="G1932" i="1"/>
  <c r="F1932" i="1"/>
  <c r="G1931" i="1"/>
  <c r="F1931" i="1"/>
  <c r="G1930" i="1"/>
  <c r="F1930" i="1"/>
  <c r="G1929" i="1"/>
  <c r="F1929" i="1"/>
  <c r="G1928" i="1"/>
  <c r="F1928" i="1"/>
  <c r="G1927" i="1"/>
  <c r="F1927" i="1"/>
  <c r="G1926" i="1"/>
  <c r="F1926" i="1"/>
  <c r="G1925" i="1"/>
  <c r="F1925" i="1"/>
  <c r="G1924" i="1"/>
  <c r="F1924" i="1"/>
  <c r="G1923" i="1"/>
  <c r="F1923" i="1"/>
  <c r="G1922" i="1"/>
  <c r="F1922" i="1"/>
  <c r="G1921" i="1"/>
  <c r="F1921" i="1"/>
  <c r="G1920" i="1"/>
  <c r="F1920" i="1"/>
  <c r="G1919" i="1"/>
  <c r="F1919" i="1"/>
  <c r="G1918" i="1"/>
  <c r="F1918" i="1"/>
  <c r="G1917" i="1"/>
  <c r="F1917" i="1"/>
  <c r="G1916" i="1"/>
  <c r="F1916" i="1"/>
  <c r="G1915" i="1"/>
  <c r="F1915" i="1"/>
  <c r="G1914" i="1"/>
  <c r="F1914" i="1"/>
  <c r="G1913" i="1"/>
  <c r="F1913" i="1"/>
  <c r="G1912" i="1"/>
  <c r="F1912" i="1"/>
  <c r="G1911" i="1"/>
  <c r="F1911" i="1"/>
  <c r="G1910" i="1"/>
  <c r="F1910" i="1"/>
  <c r="G1909" i="1"/>
  <c r="F1909" i="1"/>
  <c r="G1908" i="1"/>
  <c r="F1908" i="1"/>
  <c r="G1907" i="1"/>
  <c r="F1907" i="1"/>
  <c r="G1906" i="1"/>
  <c r="F1906" i="1"/>
  <c r="G1905" i="1"/>
  <c r="F1905" i="1"/>
  <c r="G1904" i="1"/>
  <c r="F1904" i="1"/>
  <c r="G1903" i="1"/>
  <c r="F1903" i="1"/>
  <c r="G1902" i="1"/>
  <c r="F1902" i="1"/>
  <c r="G1901" i="1"/>
  <c r="F1901" i="1"/>
  <c r="G1900" i="1"/>
  <c r="F1900" i="1"/>
  <c r="G1899" i="1"/>
  <c r="F1899" i="1"/>
  <c r="G1898" i="1"/>
  <c r="F1898" i="1"/>
  <c r="G1897" i="1"/>
  <c r="F1897" i="1"/>
  <c r="G1896" i="1"/>
  <c r="F1896" i="1"/>
  <c r="G1895" i="1"/>
  <c r="F1895" i="1"/>
  <c r="G1894" i="1"/>
  <c r="F1894" i="1"/>
  <c r="G1893" i="1"/>
  <c r="F1893" i="1"/>
  <c r="G1892" i="1"/>
  <c r="F1892" i="1"/>
  <c r="G1891" i="1"/>
  <c r="F1891" i="1"/>
  <c r="G1890" i="1"/>
  <c r="F1890" i="1"/>
  <c r="G1889" i="1"/>
  <c r="F1889" i="1"/>
  <c r="G1888" i="1"/>
  <c r="F1888" i="1"/>
  <c r="G1887" i="1"/>
  <c r="F1887" i="1"/>
  <c r="G1886" i="1"/>
  <c r="F1886" i="1"/>
  <c r="G1885" i="1"/>
  <c r="F1885" i="1"/>
  <c r="G1884" i="1"/>
  <c r="F1884" i="1"/>
  <c r="G1883" i="1"/>
  <c r="F1883" i="1"/>
  <c r="G1882" i="1"/>
  <c r="F1882" i="1"/>
  <c r="G1881" i="1"/>
  <c r="F1881" i="1"/>
  <c r="G1880" i="1"/>
  <c r="F1880" i="1"/>
  <c r="G1879" i="1"/>
  <c r="F1879" i="1"/>
  <c r="G1878" i="1"/>
  <c r="F1878" i="1"/>
  <c r="G1877" i="1"/>
  <c r="F1877" i="1"/>
  <c r="G1876" i="1"/>
  <c r="F1876" i="1"/>
  <c r="G1875" i="1"/>
  <c r="F1875" i="1"/>
  <c r="G1874" i="1"/>
  <c r="F1874" i="1"/>
  <c r="G1873" i="1"/>
  <c r="F1873" i="1"/>
  <c r="G1872" i="1"/>
  <c r="F1872" i="1"/>
  <c r="G1871" i="1"/>
  <c r="F1871" i="1"/>
  <c r="G1870" i="1"/>
  <c r="F1870" i="1"/>
  <c r="G1869" i="1"/>
  <c r="F1869" i="1"/>
  <c r="G1868" i="1"/>
  <c r="F1868" i="1"/>
  <c r="G1867" i="1"/>
  <c r="F1867" i="1"/>
  <c r="G1866" i="1"/>
  <c r="F1866" i="1"/>
  <c r="G1865" i="1"/>
  <c r="F1865" i="1"/>
  <c r="G1864" i="1"/>
  <c r="F1864" i="1"/>
  <c r="G1863" i="1"/>
  <c r="F1863" i="1"/>
  <c r="G1862" i="1"/>
  <c r="F1862" i="1"/>
  <c r="G1861" i="1"/>
  <c r="F1861" i="1"/>
  <c r="G1860" i="1"/>
  <c r="F1860" i="1"/>
  <c r="G1859" i="1"/>
  <c r="F1859" i="1"/>
  <c r="G1858" i="1"/>
  <c r="F1858" i="1"/>
  <c r="G1857" i="1"/>
  <c r="F1857" i="1"/>
  <c r="G1856" i="1"/>
  <c r="F1856" i="1"/>
  <c r="G1855" i="1"/>
  <c r="F1855" i="1"/>
  <c r="G1854" i="1"/>
  <c r="F1854" i="1"/>
  <c r="G1853" i="1"/>
  <c r="F1853" i="1"/>
  <c r="G1852" i="1"/>
  <c r="F1852" i="1"/>
  <c r="G1851" i="1"/>
  <c r="F1851" i="1"/>
  <c r="G1850" i="1"/>
  <c r="F1850" i="1"/>
  <c r="G1849" i="1"/>
  <c r="F1849" i="1"/>
  <c r="G1848" i="1"/>
  <c r="F1848" i="1"/>
  <c r="G1847" i="1"/>
  <c r="F1847" i="1"/>
  <c r="G1846" i="1"/>
  <c r="F1846" i="1"/>
  <c r="G1845" i="1"/>
  <c r="F1845" i="1"/>
  <c r="G1844" i="1"/>
  <c r="F1844" i="1"/>
  <c r="G1843" i="1"/>
  <c r="F1843" i="1"/>
  <c r="G1842" i="1"/>
  <c r="F1842" i="1"/>
  <c r="G1841" i="1"/>
  <c r="F1841" i="1"/>
  <c r="G1840" i="1"/>
  <c r="F1840" i="1"/>
  <c r="G1839" i="1"/>
  <c r="F1839" i="1"/>
  <c r="G1838" i="1"/>
  <c r="F1838" i="1"/>
  <c r="G1837" i="1"/>
  <c r="F1837" i="1"/>
  <c r="G1836" i="1"/>
  <c r="F1836" i="1"/>
  <c r="G1835" i="1"/>
  <c r="F1835" i="1"/>
  <c r="G1834" i="1"/>
  <c r="F1834" i="1"/>
  <c r="G1833" i="1"/>
  <c r="F1833" i="1"/>
  <c r="G1832" i="1"/>
  <c r="F1832" i="1"/>
  <c r="G1831" i="1"/>
  <c r="F1831" i="1"/>
  <c r="G1830" i="1"/>
  <c r="F1830" i="1"/>
  <c r="G1829" i="1"/>
  <c r="F1829" i="1"/>
  <c r="G1828" i="1"/>
  <c r="F1828" i="1"/>
  <c r="G1827" i="1"/>
  <c r="F1827" i="1"/>
  <c r="G1826" i="1"/>
  <c r="F1826" i="1"/>
  <c r="G1825" i="1"/>
  <c r="F1825" i="1"/>
  <c r="G1824" i="1"/>
  <c r="F1824" i="1"/>
  <c r="G1823" i="1"/>
  <c r="F1823" i="1"/>
  <c r="G1822" i="1"/>
  <c r="F1822" i="1"/>
  <c r="G1821" i="1"/>
  <c r="F1821" i="1"/>
  <c r="G1820" i="1"/>
  <c r="F1820" i="1"/>
  <c r="G1819" i="1"/>
  <c r="F1819" i="1"/>
  <c r="G1818" i="1"/>
  <c r="F1818" i="1"/>
  <c r="G1817" i="1"/>
  <c r="F1817" i="1"/>
  <c r="G1816" i="1"/>
  <c r="F1816" i="1"/>
  <c r="G1815" i="1"/>
  <c r="F1815" i="1"/>
  <c r="G1814" i="1"/>
  <c r="F1814" i="1"/>
  <c r="G1813" i="1"/>
  <c r="F1813" i="1"/>
  <c r="G1812" i="1"/>
  <c r="F1812" i="1"/>
  <c r="G1811" i="1"/>
  <c r="F1811" i="1"/>
  <c r="G1810" i="1"/>
  <c r="F1810" i="1"/>
  <c r="G1809" i="1"/>
  <c r="F1809" i="1"/>
  <c r="G1808" i="1"/>
  <c r="F1808" i="1"/>
  <c r="G1807" i="1"/>
  <c r="F1807" i="1"/>
  <c r="G1806" i="1"/>
  <c r="F1806" i="1"/>
  <c r="G1805" i="1"/>
  <c r="F1805" i="1"/>
  <c r="G1804" i="1"/>
  <c r="F1804" i="1"/>
  <c r="G1803" i="1"/>
  <c r="F1803" i="1"/>
  <c r="G1802" i="1"/>
  <c r="F1802" i="1"/>
  <c r="G1801" i="1"/>
  <c r="F1801" i="1"/>
  <c r="G1800" i="1"/>
  <c r="F1800" i="1"/>
  <c r="G1799" i="1"/>
  <c r="F1799" i="1"/>
  <c r="G1798" i="1"/>
  <c r="F1798" i="1"/>
  <c r="G1797" i="1"/>
  <c r="F1797" i="1"/>
  <c r="G1796" i="1"/>
  <c r="F1796" i="1"/>
  <c r="G1795" i="1"/>
  <c r="F1795" i="1"/>
  <c r="G1794" i="1"/>
  <c r="F1794" i="1"/>
  <c r="G1793" i="1"/>
  <c r="F1793" i="1"/>
  <c r="G1792" i="1"/>
  <c r="F1792" i="1"/>
  <c r="G1791" i="1"/>
  <c r="F1791" i="1"/>
  <c r="G1790" i="1"/>
  <c r="F1790" i="1"/>
  <c r="G1789" i="1"/>
  <c r="F1789" i="1"/>
  <c r="G1788" i="1"/>
  <c r="F1788" i="1"/>
  <c r="G1787" i="1"/>
  <c r="F1787" i="1"/>
  <c r="G1786" i="1"/>
  <c r="F1786" i="1"/>
  <c r="G1785" i="1"/>
  <c r="F1785" i="1"/>
  <c r="G1784" i="1"/>
  <c r="F1784" i="1"/>
  <c r="G1783" i="1"/>
  <c r="F1783" i="1"/>
  <c r="G1782" i="1"/>
  <c r="F1782" i="1"/>
  <c r="G1781" i="1"/>
  <c r="F1781" i="1"/>
  <c r="G1780" i="1"/>
  <c r="F1780" i="1"/>
  <c r="G1779" i="1"/>
  <c r="F1779" i="1"/>
  <c r="G1778" i="1"/>
  <c r="F1778" i="1"/>
  <c r="G1777" i="1"/>
  <c r="F1777" i="1"/>
  <c r="G1776" i="1"/>
  <c r="F1776" i="1"/>
  <c r="G1775" i="1"/>
  <c r="F1775" i="1"/>
  <c r="G1774" i="1"/>
  <c r="F1774" i="1"/>
  <c r="G1773" i="1"/>
  <c r="F1773" i="1"/>
  <c r="G1772" i="1"/>
  <c r="F1772" i="1"/>
  <c r="G1771" i="1"/>
  <c r="F1771" i="1"/>
  <c r="G1770" i="1"/>
  <c r="F1770" i="1"/>
  <c r="G1769" i="1"/>
  <c r="F1769" i="1"/>
  <c r="G1768" i="1"/>
  <c r="F1768" i="1"/>
  <c r="G1767" i="1"/>
  <c r="F1767" i="1"/>
  <c r="G1766" i="1"/>
  <c r="F1766" i="1"/>
  <c r="G1765" i="1"/>
  <c r="F1765" i="1"/>
  <c r="G1764" i="1"/>
  <c r="F1764" i="1"/>
  <c r="G1763" i="1"/>
  <c r="F1763" i="1"/>
  <c r="G1762" i="1"/>
  <c r="F1762" i="1"/>
  <c r="G1761" i="1"/>
  <c r="F1761" i="1"/>
  <c r="G1760" i="1"/>
  <c r="F1760" i="1"/>
  <c r="G1759" i="1"/>
  <c r="F1759" i="1"/>
  <c r="G1758" i="1"/>
  <c r="F1758" i="1"/>
  <c r="G1757" i="1"/>
  <c r="F1757" i="1"/>
  <c r="G1756" i="1"/>
  <c r="F1756" i="1"/>
  <c r="G1755" i="1"/>
  <c r="F1755" i="1"/>
  <c r="G1754" i="1"/>
  <c r="F1754" i="1"/>
  <c r="G1753" i="1"/>
  <c r="F1753" i="1"/>
  <c r="G1752" i="1"/>
  <c r="F1752" i="1"/>
  <c r="G1751" i="1"/>
  <c r="F1751" i="1"/>
  <c r="G1750" i="1"/>
  <c r="F1750" i="1"/>
  <c r="G1749" i="1"/>
  <c r="F1749" i="1"/>
  <c r="G1748" i="1"/>
  <c r="F1748" i="1"/>
  <c r="G1747" i="1"/>
  <c r="F1747" i="1"/>
  <c r="G1746" i="1"/>
  <c r="F1746" i="1"/>
  <c r="G1745" i="1"/>
  <c r="F1745" i="1"/>
  <c r="G1744" i="1"/>
  <c r="F1744" i="1"/>
  <c r="G1743" i="1"/>
  <c r="F1743" i="1"/>
  <c r="G1742" i="1"/>
  <c r="F1742" i="1"/>
  <c r="G1741" i="1"/>
  <c r="F1741" i="1"/>
  <c r="G1740" i="1"/>
  <c r="F1740" i="1"/>
  <c r="G1739" i="1"/>
  <c r="F1739" i="1"/>
  <c r="G1738" i="1"/>
  <c r="F1738" i="1"/>
  <c r="G1737" i="1"/>
  <c r="F1737" i="1"/>
  <c r="G1736" i="1"/>
  <c r="F1736" i="1"/>
  <c r="G1735" i="1"/>
  <c r="F1735" i="1"/>
  <c r="G1734" i="1"/>
  <c r="F1734" i="1"/>
  <c r="G1733" i="1"/>
  <c r="F1733" i="1"/>
  <c r="G1732" i="1"/>
  <c r="F1732" i="1"/>
  <c r="G1731" i="1"/>
  <c r="F1731" i="1"/>
  <c r="G1730" i="1"/>
  <c r="F1730" i="1"/>
  <c r="G1729" i="1"/>
  <c r="F1729" i="1"/>
  <c r="G1728" i="1"/>
  <c r="F1728" i="1"/>
  <c r="G1727" i="1"/>
  <c r="F1727" i="1"/>
  <c r="G1726" i="1"/>
  <c r="F1726" i="1"/>
  <c r="G1725" i="1"/>
  <c r="F1725" i="1"/>
  <c r="G1724" i="1"/>
  <c r="F1724" i="1"/>
  <c r="G1723" i="1"/>
  <c r="F1723" i="1"/>
  <c r="G1722" i="1"/>
  <c r="F1722" i="1"/>
  <c r="G1721" i="1"/>
  <c r="F1721" i="1"/>
  <c r="G1720" i="1"/>
  <c r="F1720" i="1"/>
  <c r="G1719" i="1"/>
  <c r="F1719" i="1"/>
  <c r="G1718" i="1"/>
  <c r="F1718" i="1"/>
  <c r="G1717" i="1"/>
  <c r="F1717" i="1"/>
  <c r="G1716" i="1"/>
  <c r="F1716" i="1"/>
  <c r="G1715" i="1"/>
  <c r="F1715" i="1"/>
  <c r="G1714" i="1"/>
  <c r="F1714" i="1"/>
  <c r="G1712" i="1"/>
  <c r="F1712" i="1"/>
  <c r="G1711" i="1"/>
  <c r="F1711" i="1"/>
  <c r="G1710" i="1"/>
  <c r="F1710" i="1"/>
  <c r="G1709" i="1"/>
  <c r="F1709" i="1"/>
  <c r="G1708" i="1"/>
  <c r="F1708" i="1"/>
  <c r="G1707" i="1"/>
  <c r="F1707" i="1"/>
  <c r="G1706" i="1"/>
  <c r="F1706" i="1"/>
  <c r="G1705" i="1"/>
  <c r="F1705" i="1"/>
  <c r="G1704" i="1"/>
  <c r="F1704" i="1"/>
  <c r="G1703" i="1"/>
  <c r="F1703" i="1"/>
  <c r="G1702" i="1"/>
  <c r="F1702" i="1"/>
  <c r="G1701" i="1"/>
  <c r="F1701" i="1"/>
  <c r="G1700" i="1"/>
  <c r="F1700" i="1"/>
  <c r="G1699" i="1"/>
  <c r="F1699" i="1"/>
  <c r="G1698" i="1"/>
  <c r="F1698" i="1"/>
  <c r="G1697" i="1"/>
  <c r="F1697" i="1"/>
  <c r="G1696" i="1"/>
  <c r="F1696" i="1"/>
  <c r="G1695" i="1"/>
  <c r="F1695" i="1"/>
  <c r="G1694" i="1"/>
  <c r="F1694" i="1"/>
  <c r="G1693" i="1"/>
  <c r="F1693" i="1"/>
  <c r="G1692" i="1"/>
  <c r="F1692" i="1"/>
  <c r="G1691" i="1"/>
  <c r="F1691" i="1"/>
  <c r="G1690" i="1"/>
  <c r="F1690" i="1"/>
  <c r="G1689" i="1"/>
  <c r="F1689" i="1"/>
  <c r="G1688" i="1"/>
  <c r="F1688" i="1"/>
  <c r="G1687" i="1"/>
  <c r="F1687" i="1"/>
  <c r="G1686" i="1"/>
  <c r="F1686" i="1"/>
  <c r="G1685" i="1"/>
  <c r="F1685" i="1"/>
  <c r="G1684" i="1"/>
  <c r="F1684" i="1"/>
  <c r="G1683" i="1"/>
  <c r="F1683" i="1"/>
  <c r="G1682" i="1"/>
  <c r="F1682" i="1"/>
  <c r="G1681" i="1"/>
  <c r="F1681" i="1"/>
  <c r="G1680" i="1"/>
  <c r="F1680" i="1"/>
  <c r="G1679" i="1"/>
  <c r="F1679" i="1"/>
  <c r="G1678" i="1"/>
  <c r="F1678" i="1"/>
  <c r="G1677" i="1"/>
  <c r="F1677" i="1"/>
  <c r="G1676" i="1"/>
  <c r="F1676" i="1"/>
  <c r="G1675" i="1"/>
  <c r="F1675" i="1"/>
  <c r="G1674" i="1"/>
  <c r="F1674" i="1"/>
  <c r="G1673" i="1"/>
  <c r="F1673" i="1"/>
  <c r="G1672" i="1"/>
  <c r="F1672" i="1"/>
  <c r="G1671" i="1"/>
  <c r="F1671" i="1"/>
  <c r="G1670" i="1"/>
  <c r="F1670" i="1"/>
  <c r="G1669" i="1"/>
  <c r="F1669" i="1"/>
  <c r="G1668" i="1"/>
  <c r="F1668" i="1"/>
  <c r="G1667" i="1"/>
  <c r="F1667" i="1"/>
  <c r="G1666" i="1"/>
  <c r="F1666" i="1"/>
  <c r="G1665" i="1"/>
  <c r="F1665" i="1"/>
  <c r="G1664" i="1"/>
  <c r="F1664" i="1"/>
  <c r="G1663" i="1"/>
  <c r="F1663" i="1"/>
  <c r="G1662" i="1"/>
  <c r="F1662" i="1"/>
  <c r="G1661" i="1"/>
  <c r="F1661" i="1"/>
  <c r="G1660" i="1"/>
  <c r="F1660" i="1"/>
  <c r="G1659" i="1"/>
  <c r="F1659" i="1"/>
  <c r="G1658" i="1"/>
  <c r="F1658" i="1"/>
  <c r="G1657" i="1"/>
  <c r="F1657" i="1"/>
  <c r="G1656" i="1"/>
  <c r="F1656" i="1"/>
  <c r="G1655" i="1"/>
  <c r="F1655" i="1"/>
  <c r="G1654" i="1"/>
  <c r="F1654" i="1"/>
  <c r="G1653" i="1"/>
  <c r="F1653" i="1"/>
  <c r="G1652" i="1"/>
  <c r="F1652" i="1"/>
  <c r="G1651" i="1"/>
  <c r="F1651" i="1"/>
  <c r="G1650" i="1"/>
  <c r="F1650" i="1"/>
  <c r="G1649" i="1"/>
  <c r="F1649" i="1"/>
  <c r="G1648" i="1"/>
  <c r="F1648" i="1"/>
  <c r="G1647" i="1"/>
  <c r="F1647" i="1"/>
  <c r="G1646" i="1"/>
  <c r="F1646" i="1"/>
  <c r="G1645" i="1"/>
  <c r="F1645" i="1"/>
  <c r="G1644" i="1"/>
  <c r="F1644" i="1"/>
  <c r="G1643" i="1"/>
  <c r="F1643" i="1"/>
  <c r="G1642" i="1"/>
  <c r="F1642" i="1"/>
  <c r="G1641" i="1"/>
  <c r="F1641" i="1"/>
  <c r="G1640" i="1"/>
  <c r="F1640" i="1"/>
  <c r="G1639" i="1"/>
  <c r="F1639" i="1"/>
  <c r="G1638" i="1"/>
  <c r="F1638" i="1"/>
  <c r="G1637" i="1"/>
  <c r="F1637" i="1"/>
  <c r="G1636" i="1"/>
  <c r="F1636" i="1"/>
  <c r="G1635" i="1"/>
  <c r="F1635" i="1"/>
  <c r="G1634" i="1"/>
  <c r="F1634" i="1"/>
  <c r="G1633" i="1"/>
  <c r="F1633" i="1"/>
  <c r="G1632" i="1"/>
  <c r="F1632" i="1"/>
  <c r="G1631" i="1"/>
  <c r="F1631" i="1"/>
  <c r="G1630" i="1"/>
  <c r="F1630" i="1"/>
  <c r="G1629" i="1"/>
  <c r="F1629" i="1"/>
  <c r="G1628" i="1"/>
  <c r="F1628" i="1"/>
  <c r="G1627" i="1"/>
  <c r="F1627" i="1"/>
  <c r="G1626" i="1"/>
  <c r="F1626" i="1"/>
  <c r="G1625" i="1"/>
  <c r="F1625" i="1"/>
  <c r="G1624" i="1"/>
  <c r="F1624" i="1"/>
  <c r="G1623" i="1"/>
  <c r="F1623" i="1"/>
  <c r="G1622" i="1"/>
  <c r="F1622" i="1"/>
  <c r="G1621" i="1"/>
  <c r="F1621" i="1"/>
  <c r="G1620" i="1"/>
  <c r="F1620" i="1"/>
  <c r="G1619" i="1"/>
  <c r="F1619" i="1"/>
  <c r="G1618" i="1"/>
  <c r="F1618" i="1"/>
  <c r="G1617" i="1"/>
  <c r="F1617" i="1"/>
  <c r="G1616" i="1"/>
  <c r="F1616" i="1"/>
  <c r="G1615" i="1"/>
  <c r="F1615" i="1"/>
  <c r="G1614" i="1"/>
  <c r="F1614" i="1"/>
  <c r="G1613" i="1"/>
  <c r="F1613" i="1"/>
  <c r="G1612" i="1"/>
  <c r="F1612" i="1"/>
  <c r="G1611" i="1"/>
  <c r="F1611" i="1"/>
  <c r="G1610" i="1"/>
  <c r="F1610" i="1"/>
  <c r="G1609" i="1"/>
  <c r="F1609" i="1"/>
  <c r="G1608" i="1"/>
  <c r="F1608" i="1"/>
  <c r="G1607" i="1"/>
  <c r="F1607" i="1"/>
  <c r="G1606" i="1"/>
  <c r="F1606" i="1"/>
  <c r="G1605" i="1"/>
  <c r="F1605" i="1"/>
  <c r="G1604" i="1"/>
  <c r="F1604" i="1"/>
  <c r="G1603" i="1"/>
  <c r="F1603" i="1"/>
  <c r="G1602" i="1"/>
  <c r="F1602" i="1"/>
  <c r="G1601" i="1"/>
  <c r="F1601" i="1"/>
  <c r="G1600" i="1"/>
  <c r="F1600" i="1"/>
  <c r="G1599" i="1"/>
  <c r="F1599" i="1"/>
  <c r="G1598" i="1"/>
  <c r="F1598" i="1"/>
  <c r="G1597" i="1"/>
  <c r="F1597" i="1"/>
  <c r="G1596" i="1"/>
  <c r="F1596" i="1"/>
  <c r="G1595" i="1"/>
  <c r="F1595" i="1"/>
  <c r="G1594" i="1"/>
  <c r="F1594" i="1"/>
  <c r="G1593" i="1"/>
  <c r="F1593" i="1"/>
  <c r="G1592" i="1"/>
  <c r="F1592" i="1"/>
  <c r="G1591" i="1"/>
  <c r="F1591" i="1"/>
  <c r="G1590" i="1"/>
  <c r="F1590" i="1"/>
  <c r="G1589" i="1"/>
  <c r="F1589" i="1"/>
  <c r="G1588" i="1"/>
  <c r="F1588" i="1"/>
  <c r="G1587" i="1"/>
  <c r="F1587" i="1"/>
  <c r="G1586" i="1"/>
  <c r="F1586" i="1"/>
  <c r="G1585" i="1"/>
  <c r="F1585" i="1"/>
  <c r="G1584" i="1"/>
  <c r="F1584" i="1"/>
  <c r="G1583" i="1"/>
  <c r="F1583" i="1"/>
  <c r="G1582" i="1"/>
  <c r="F1582" i="1"/>
  <c r="G1581" i="1"/>
  <c r="F1581" i="1"/>
  <c r="G1580" i="1"/>
  <c r="F1580" i="1"/>
  <c r="G1579" i="1"/>
  <c r="F1579" i="1"/>
  <c r="G1578" i="1"/>
  <c r="F1578" i="1"/>
  <c r="G1577" i="1"/>
  <c r="F1577" i="1"/>
  <c r="G1576" i="1"/>
  <c r="F1576" i="1"/>
  <c r="G1575" i="1"/>
  <c r="F1575" i="1"/>
  <c r="G1574" i="1"/>
  <c r="F1574" i="1"/>
  <c r="G1573" i="1"/>
  <c r="F1573" i="1"/>
  <c r="G1572" i="1"/>
  <c r="F1572" i="1"/>
  <c r="G1571" i="1"/>
  <c r="F1571" i="1"/>
  <c r="G1570" i="1"/>
  <c r="F1570" i="1"/>
  <c r="G1569" i="1"/>
  <c r="F1569" i="1"/>
  <c r="G1568" i="1"/>
  <c r="F1568" i="1"/>
  <c r="G1567" i="1"/>
  <c r="F1567" i="1"/>
  <c r="G1566" i="1"/>
  <c r="F1566" i="1"/>
  <c r="G1565" i="1"/>
  <c r="F1565" i="1"/>
  <c r="G1564" i="1"/>
  <c r="F1564" i="1"/>
  <c r="G1563" i="1"/>
  <c r="F1563" i="1"/>
  <c r="G1562" i="1"/>
  <c r="F1562" i="1"/>
  <c r="G1561" i="1"/>
  <c r="F1561" i="1"/>
  <c r="G1560" i="1"/>
  <c r="F1560" i="1"/>
  <c r="G1559" i="1"/>
  <c r="F1559" i="1"/>
  <c r="G1558" i="1"/>
  <c r="F1558" i="1"/>
  <c r="G1557" i="1"/>
  <c r="F1557" i="1"/>
  <c r="G1556" i="1"/>
  <c r="F1556" i="1"/>
  <c r="G1555" i="1"/>
  <c r="F1555" i="1"/>
  <c r="G1554" i="1"/>
  <c r="F1554" i="1"/>
  <c r="G1553" i="1"/>
  <c r="F1553" i="1"/>
  <c r="G1552" i="1"/>
  <c r="F1552" i="1"/>
  <c r="G1551" i="1"/>
  <c r="F1551" i="1"/>
  <c r="G1550" i="1"/>
  <c r="F1550" i="1"/>
  <c r="G1549" i="1"/>
  <c r="F1549" i="1"/>
  <c r="G1548" i="1"/>
  <c r="F1548" i="1"/>
  <c r="G1547" i="1"/>
  <c r="F1547" i="1"/>
  <c r="G1546" i="1"/>
  <c r="F1546" i="1"/>
  <c r="G1545" i="1"/>
  <c r="F1545" i="1"/>
  <c r="G1544" i="1"/>
  <c r="F1544" i="1"/>
  <c r="G1543" i="1"/>
  <c r="F1543" i="1"/>
  <c r="G1542" i="1"/>
  <c r="F1542" i="1"/>
  <c r="G1541" i="1"/>
  <c r="F1541" i="1"/>
  <c r="G1540" i="1"/>
  <c r="F1540" i="1"/>
  <c r="G1539" i="1"/>
  <c r="F1539" i="1"/>
  <c r="G1538" i="1"/>
  <c r="F1538" i="1"/>
  <c r="G1537" i="1"/>
  <c r="F1537" i="1"/>
  <c r="G1536" i="1"/>
  <c r="F1536" i="1"/>
  <c r="G1535" i="1"/>
  <c r="F1535" i="1"/>
  <c r="G1534" i="1"/>
  <c r="F1534" i="1"/>
  <c r="G1533" i="1"/>
  <c r="F1533" i="1"/>
  <c r="G1532" i="1"/>
  <c r="F1532" i="1"/>
  <c r="G1531" i="1"/>
  <c r="F1531" i="1"/>
  <c r="G1530" i="1"/>
  <c r="F1530" i="1"/>
  <c r="G1529" i="1"/>
  <c r="F1529" i="1"/>
  <c r="G1528" i="1"/>
  <c r="F1528" i="1"/>
  <c r="G1527" i="1"/>
  <c r="F1527" i="1"/>
  <c r="G1526" i="1"/>
  <c r="F1526" i="1"/>
  <c r="G1525" i="1"/>
  <c r="F1525" i="1"/>
  <c r="G1524" i="1"/>
  <c r="F1524" i="1"/>
  <c r="G1523" i="1"/>
  <c r="F1523" i="1"/>
  <c r="G1522" i="1"/>
  <c r="F1522" i="1"/>
  <c r="G1521" i="1"/>
  <c r="F1521" i="1"/>
  <c r="G1520" i="1"/>
  <c r="F1520" i="1"/>
  <c r="G1519" i="1"/>
  <c r="F1519" i="1"/>
  <c r="G1518" i="1"/>
  <c r="F1518" i="1"/>
  <c r="G1517" i="1"/>
  <c r="F1517" i="1"/>
  <c r="G1516" i="1"/>
  <c r="F1516" i="1"/>
  <c r="G1515" i="1"/>
  <c r="F1515" i="1"/>
  <c r="G1514" i="1"/>
  <c r="F1514" i="1"/>
  <c r="G1513" i="1"/>
  <c r="F1513" i="1"/>
  <c r="G1512" i="1"/>
  <c r="F1512" i="1"/>
  <c r="G1511" i="1"/>
  <c r="F1511" i="1"/>
  <c r="G1510" i="1"/>
  <c r="F1510" i="1"/>
  <c r="G1509" i="1"/>
  <c r="F1509" i="1"/>
  <c r="G1508" i="1"/>
  <c r="F1508" i="1"/>
  <c r="G1507" i="1"/>
  <c r="F1507" i="1"/>
  <c r="G1506" i="1"/>
  <c r="F1506" i="1"/>
  <c r="G1505" i="1"/>
  <c r="F1505" i="1"/>
  <c r="G1504" i="1"/>
  <c r="F1504" i="1"/>
  <c r="G1503" i="1"/>
  <c r="F1503" i="1"/>
  <c r="G1502" i="1"/>
  <c r="F1502" i="1"/>
  <c r="G1501" i="1"/>
  <c r="F1501" i="1"/>
  <c r="G1500" i="1"/>
  <c r="F1500" i="1"/>
  <c r="G1499" i="1"/>
  <c r="F1499" i="1"/>
  <c r="G1498" i="1"/>
  <c r="F1498" i="1"/>
  <c r="G1497" i="1"/>
  <c r="F1497" i="1"/>
  <c r="G1496" i="1"/>
  <c r="F1496" i="1"/>
  <c r="G1495" i="1"/>
  <c r="F1495" i="1"/>
  <c r="G1494" i="1"/>
  <c r="F1494" i="1"/>
  <c r="G1493" i="1"/>
  <c r="F1493" i="1"/>
  <c r="G1492" i="1"/>
  <c r="F1492" i="1"/>
  <c r="G1491" i="1"/>
  <c r="F1491" i="1"/>
  <c r="G1490" i="1"/>
  <c r="F1490" i="1"/>
  <c r="G1489" i="1"/>
  <c r="F1489" i="1"/>
  <c r="G1488" i="1"/>
  <c r="F1488" i="1"/>
  <c r="G1487" i="1"/>
  <c r="F1487" i="1"/>
  <c r="G1486" i="1"/>
  <c r="F1486" i="1"/>
  <c r="G1485" i="1"/>
  <c r="F1485" i="1"/>
  <c r="G1484" i="1"/>
  <c r="F1484" i="1"/>
  <c r="G1483" i="1"/>
  <c r="F1483" i="1"/>
  <c r="G1482" i="1"/>
  <c r="F1482" i="1"/>
  <c r="G1481" i="1"/>
  <c r="F1481" i="1"/>
  <c r="G1480" i="1"/>
  <c r="F1480" i="1"/>
  <c r="G1479" i="1"/>
  <c r="F1479" i="1"/>
  <c r="G1478" i="1"/>
  <c r="F1478" i="1"/>
  <c r="G1477" i="1"/>
  <c r="F1477" i="1"/>
  <c r="G1476" i="1"/>
  <c r="F1476" i="1"/>
  <c r="G1475" i="1"/>
  <c r="F1475" i="1"/>
  <c r="G1474" i="1"/>
  <c r="F1474" i="1"/>
  <c r="G1473" i="1"/>
  <c r="F1473" i="1"/>
  <c r="G1472" i="1"/>
  <c r="F1472" i="1"/>
  <c r="G1471" i="1"/>
  <c r="F1471" i="1"/>
  <c r="G1470" i="1"/>
  <c r="F1470" i="1"/>
  <c r="G1469" i="1"/>
  <c r="F1469" i="1"/>
  <c r="G1468" i="1"/>
  <c r="F1468" i="1"/>
  <c r="G1467" i="1"/>
  <c r="F1467" i="1"/>
  <c r="G1466" i="1"/>
  <c r="F1466" i="1"/>
  <c r="G1465" i="1"/>
  <c r="F1465" i="1"/>
  <c r="G1464" i="1"/>
  <c r="F1464" i="1"/>
  <c r="G1463" i="1"/>
  <c r="F1463" i="1"/>
  <c r="G1462" i="1"/>
  <c r="F1462" i="1"/>
  <c r="G1461" i="1"/>
  <c r="F1461" i="1"/>
  <c r="G1460" i="1"/>
  <c r="F1460" i="1"/>
  <c r="G1459" i="1"/>
  <c r="F1459" i="1"/>
  <c r="G1458" i="1"/>
  <c r="F1458" i="1"/>
  <c r="G1457" i="1"/>
  <c r="F1457" i="1"/>
  <c r="G1456" i="1"/>
  <c r="F1456" i="1"/>
  <c r="G1455" i="1"/>
  <c r="F1455" i="1"/>
  <c r="G1454" i="1"/>
  <c r="F1454" i="1"/>
  <c r="G1453" i="1"/>
  <c r="F1453" i="1"/>
  <c r="G1452" i="1"/>
  <c r="F1452" i="1"/>
  <c r="G1451" i="1"/>
  <c r="F1451" i="1"/>
  <c r="G1450" i="1"/>
  <c r="F1450" i="1"/>
  <c r="G1449" i="1"/>
  <c r="F1449" i="1"/>
  <c r="G1448" i="1"/>
  <c r="F1448" i="1"/>
  <c r="G1447" i="1"/>
  <c r="F1447" i="1"/>
  <c r="G1446" i="1"/>
  <c r="F1446" i="1"/>
  <c r="G1445" i="1"/>
  <c r="F1445" i="1"/>
  <c r="G1444" i="1"/>
  <c r="F1444" i="1"/>
  <c r="G1443" i="1"/>
  <c r="F1443" i="1"/>
  <c r="G1442" i="1"/>
  <c r="F1442" i="1"/>
  <c r="G1441" i="1"/>
  <c r="F1441" i="1"/>
  <c r="G1440" i="1"/>
  <c r="F1440" i="1"/>
  <c r="G1439" i="1"/>
  <c r="F1439" i="1"/>
  <c r="G1438" i="1"/>
  <c r="F1438" i="1"/>
  <c r="G1437" i="1"/>
  <c r="F1437" i="1"/>
  <c r="G1436" i="1"/>
  <c r="F1436" i="1"/>
  <c r="G1435" i="1"/>
  <c r="F1435" i="1"/>
  <c r="G1434" i="1"/>
  <c r="F1434" i="1"/>
  <c r="G1433" i="1"/>
  <c r="F1433" i="1"/>
  <c r="G1432" i="1"/>
  <c r="F1432" i="1"/>
  <c r="G1431" i="1"/>
  <c r="F1431" i="1"/>
  <c r="G1430" i="1"/>
  <c r="F1430" i="1"/>
  <c r="G1429" i="1"/>
  <c r="F1429" i="1"/>
  <c r="G1428" i="1"/>
  <c r="F1428" i="1"/>
  <c r="G1427" i="1"/>
  <c r="F1427" i="1"/>
  <c r="G1426" i="1"/>
  <c r="F1426" i="1"/>
  <c r="G1425" i="1"/>
  <c r="F1425" i="1"/>
  <c r="G1424" i="1"/>
  <c r="F1424" i="1"/>
  <c r="G1423" i="1"/>
  <c r="F1423" i="1"/>
  <c r="G1422" i="1"/>
  <c r="F1422" i="1"/>
  <c r="G1421" i="1"/>
  <c r="F1421" i="1"/>
  <c r="G1420" i="1"/>
  <c r="F1420" i="1"/>
  <c r="G1419" i="1"/>
  <c r="F1419" i="1"/>
  <c r="G1418" i="1"/>
  <c r="F1418" i="1"/>
  <c r="G1417" i="1"/>
  <c r="F1417" i="1"/>
  <c r="G1416" i="1"/>
  <c r="F1416" i="1"/>
  <c r="G1415" i="1"/>
  <c r="F1415" i="1"/>
  <c r="G1414" i="1"/>
  <c r="F1414" i="1"/>
  <c r="G1413" i="1"/>
  <c r="F1413" i="1"/>
  <c r="G1412" i="1"/>
  <c r="F1412" i="1"/>
  <c r="G1411" i="1"/>
  <c r="F1411" i="1"/>
  <c r="G1410" i="1"/>
  <c r="F1410" i="1"/>
  <c r="G1409" i="1"/>
  <c r="F1409" i="1"/>
  <c r="G1408" i="1"/>
  <c r="F1408" i="1"/>
  <c r="G1407" i="1"/>
  <c r="F1407" i="1"/>
  <c r="G1406" i="1"/>
  <c r="F1406" i="1"/>
  <c r="G1405" i="1"/>
  <c r="F1405" i="1"/>
  <c r="G1404" i="1"/>
  <c r="F1404" i="1"/>
  <c r="G1403" i="1"/>
  <c r="F1403" i="1"/>
  <c r="G1402" i="1"/>
  <c r="F1402" i="1"/>
  <c r="G1401" i="1"/>
  <c r="F1401" i="1"/>
  <c r="G1400" i="1"/>
  <c r="F1400" i="1"/>
  <c r="G1399" i="1"/>
  <c r="F1399" i="1"/>
  <c r="G1398" i="1"/>
  <c r="F1398" i="1"/>
  <c r="G1397" i="1"/>
  <c r="F1397" i="1"/>
  <c r="G1396" i="1"/>
  <c r="F1396" i="1"/>
  <c r="G1395" i="1"/>
  <c r="F1395" i="1"/>
  <c r="G1394" i="1"/>
  <c r="F1394" i="1"/>
  <c r="G1393" i="1"/>
  <c r="F1393" i="1"/>
  <c r="G1392" i="1"/>
  <c r="F1392" i="1"/>
  <c r="G1391" i="1"/>
  <c r="F1391" i="1"/>
  <c r="G1390" i="1"/>
  <c r="F1390" i="1"/>
  <c r="G1389" i="1"/>
  <c r="F1389" i="1"/>
  <c r="G1388" i="1"/>
  <c r="F1388" i="1"/>
  <c r="G1387" i="1"/>
  <c r="F1387" i="1"/>
  <c r="G1386" i="1"/>
  <c r="F1386" i="1"/>
  <c r="G1385" i="1"/>
  <c r="F1385" i="1"/>
  <c r="G1384" i="1"/>
  <c r="F1384" i="1"/>
  <c r="G1383" i="1"/>
  <c r="F1383" i="1"/>
  <c r="G1382" i="1"/>
  <c r="F1382" i="1"/>
  <c r="G1381" i="1"/>
  <c r="F1381" i="1"/>
  <c r="G1380" i="1"/>
  <c r="F1380" i="1"/>
  <c r="G1379" i="1"/>
  <c r="F1379" i="1"/>
  <c r="G1378" i="1"/>
  <c r="F1378" i="1"/>
  <c r="G1377" i="1"/>
  <c r="F1377" i="1"/>
  <c r="G1376" i="1"/>
  <c r="F1376" i="1"/>
  <c r="G1375" i="1"/>
  <c r="F1375" i="1"/>
  <c r="G1374" i="1"/>
  <c r="F1374" i="1"/>
  <c r="G1373" i="1"/>
  <c r="F1373" i="1"/>
  <c r="G1372" i="1"/>
  <c r="F1372" i="1"/>
  <c r="G1371" i="1"/>
  <c r="F1371" i="1"/>
  <c r="G1370" i="1"/>
  <c r="F1370" i="1"/>
  <c r="G1369" i="1"/>
  <c r="F1369" i="1"/>
  <c r="G1368" i="1"/>
  <c r="F1368" i="1"/>
  <c r="G1367" i="1"/>
  <c r="F1367" i="1"/>
  <c r="G1366" i="1"/>
  <c r="F1366" i="1"/>
  <c r="G1365" i="1"/>
  <c r="F1365" i="1"/>
  <c r="G1364" i="1"/>
  <c r="F1364" i="1"/>
  <c r="G1363" i="1"/>
  <c r="F1363" i="1"/>
  <c r="G1362" i="1"/>
  <c r="F1362" i="1"/>
  <c r="G1361" i="1"/>
  <c r="F1361" i="1"/>
  <c r="G1360" i="1"/>
  <c r="F1360" i="1"/>
  <c r="G1359" i="1"/>
  <c r="F1359" i="1"/>
  <c r="G1358" i="1"/>
  <c r="F1358" i="1"/>
  <c r="G1357" i="1"/>
  <c r="F1357" i="1"/>
  <c r="G1356" i="1"/>
  <c r="F1356" i="1"/>
  <c r="G1355" i="1"/>
  <c r="F1355" i="1"/>
  <c r="G1354" i="1"/>
  <c r="F1354" i="1"/>
  <c r="G1353" i="1"/>
  <c r="F1353" i="1"/>
  <c r="G1352" i="1"/>
  <c r="F1352" i="1"/>
  <c r="G1351" i="1"/>
  <c r="F1351" i="1"/>
  <c r="G1350" i="1"/>
  <c r="F1350" i="1"/>
  <c r="G1349" i="1"/>
  <c r="F1349" i="1"/>
  <c r="G1348" i="1"/>
  <c r="F1348" i="1"/>
  <c r="G1347" i="1"/>
  <c r="F1347" i="1"/>
  <c r="G1346" i="1"/>
  <c r="F1346" i="1"/>
  <c r="G1345" i="1"/>
  <c r="F1345" i="1"/>
  <c r="G1344" i="1"/>
  <c r="F1344" i="1"/>
  <c r="G1343" i="1"/>
  <c r="F1343" i="1"/>
  <c r="G1342" i="1"/>
  <c r="F1342" i="1"/>
  <c r="G1341" i="1"/>
  <c r="F1341" i="1"/>
  <c r="G1340" i="1"/>
  <c r="F1340" i="1"/>
  <c r="G1339" i="1"/>
  <c r="F1339" i="1"/>
  <c r="G1338" i="1"/>
  <c r="F1338" i="1"/>
  <c r="G1337" i="1"/>
  <c r="F1337" i="1"/>
  <c r="G1336" i="1"/>
  <c r="F1336" i="1"/>
  <c r="G1335" i="1"/>
  <c r="F1335" i="1"/>
  <c r="G1334" i="1"/>
  <c r="F1334" i="1"/>
  <c r="G1333" i="1"/>
  <c r="F1333" i="1"/>
  <c r="G1332" i="1"/>
  <c r="F1332" i="1"/>
  <c r="G1331" i="1"/>
  <c r="F1331" i="1"/>
  <c r="G1330" i="1"/>
  <c r="F1330" i="1"/>
  <c r="G1329" i="1"/>
  <c r="F1329" i="1"/>
  <c r="G1328" i="1"/>
  <c r="F1328" i="1"/>
  <c r="G1327" i="1"/>
  <c r="F1327" i="1"/>
  <c r="G1326" i="1"/>
  <c r="F1326" i="1"/>
  <c r="G1325" i="1"/>
  <c r="F1325" i="1"/>
  <c r="G1324" i="1"/>
  <c r="F1324" i="1"/>
  <c r="G1323" i="1"/>
  <c r="F1323" i="1"/>
  <c r="G1322" i="1"/>
  <c r="F1322" i="1"/>
  <c r="G1321" i="1"/>
  <c r="F1321" i="1"/>
  <c r="G1320" i="1"/>
  <c r="F1320" i="1"/>
  <c r="G1319" i="1"/>
  <c r="F1319" i="1"/>
  <c r="G1318" i="1"/>
  <c r="F1318" i="1"/>
  <c r="G1317" i="1"/>
  <c r="F1317" i="1"/>
  <c r="G1316" i="1"/>
  <c r="F1316" i="1"/>
  <c r="G1315" i="1"/>
  <c r="F1315" i="1"/>
  <c r="G1314" i="1"/>
  <c r="F1314" i="1"/>
  <c r="G1313" i="1"/>
  <c r="F1313" i="1"/>
  <c r="G1312" i="1"/>
  <c r="F1312" i="1"/>
  <c r="G1311" i="1"/>
  <c r="F1311" i="1"/>
  <c r="G1310" i="1"/>
  <c r="F1310" i="1"/>
  <c r="G1309" i="1"/>
  <c r="F1309" i="1"/>
  <c r="G1308" i="1"/>
  <c r="F1308" i="1"/>
  <c r="G1307" i="1"/>
  <c r="F1307" i="1"/>
  <c r="G1306" i="1"/>
  <c r="F1306" i="1"/>
  <c r="G1305" i="1"/>
  <c r="F1305" i="1"/>
  <c r="G1304" i="1"/>
  <c r="F1304" i="1"/>
  <c r="G1303" i="1"/>
  <c r="F1303" i="1"/>
  <c r="G1302" i="1"/>
  <c r="F1302" i="1"/>
  <c r="G1301" i="1"/>
  <c r="F1301" i="1"/>
  <c r="G1300" i="1"/>
  <c r="F1300" i="1"/>
  <c r="G1299" i="1"/>
  <c r="F1299" i="1"/>
  <c r="G1298" i="1"/>
  <c r="F1298" i="1"/>
  <c r="G1297" i="1"/>
  <c r="F1297" i="1"/>
  <c r="G1296" i="1"/>
  <c r="F1296" i="1"/>
  <c r="G1295" i="1"/>
  <c r="F1295" i="1"/>
  <c r="G1294" i="1"/>
  <c r="F1294" i="1"/>
  <c r="G1293" i="1"/>
  <c r="F1293" i="1"/>
  <c r="G1292" i="1"/>
  <c r="F1292" i="1"/>
  <c r="G1291" i="1"/>
  <c r="F1291" i="1"/>
  <c r="G1289" i="1"/>
  <c r="F1289" i="1"/>
  <c r="G1287" i="1"/>
  <c r="F1287" i="1"/>
  <c r="G1286" i="1"/>
  <c r="F1286" i="1"/>
  <c r="G1285" i="1"/>
  <c r="F1285" i="1"/>
  <c r="G1284" i="1"/>
  <c r="F1284" i="1"/>
  <c r="G1283" i="1"/>
  <c r="F1283" i="1"/>
  <c r="G1282" i="1"/>
  <c r="F1282" i="1"/>
  <c r="G1281" i="1"/>
  <c r="F1281" i="1"/>
  <c r="G1280" i="1"/>
  <c r="F1280" i="1"/>
  <c r="G1279" i="1"/>
  <c r="F1279" i="1"/>
  <c r="G1278" i="1"/>
  <c r="F1278" i="1"/>
  <c r="G1277" i="1"/>
  <c r="F1277" i="1"/>
  <c r="G1276" i="1"/>
  <c r="F1276" i="1"/>
  <c r="G1275" i="1"/>
  <c r="F1275" i="1"/>
  <c r="G1274" i="1"/>
  <c r="F1274" i="1"/>
  <c r="G1273" i="1"/>
  <c r="F1273" i="1"/>
  <c r="G1272" i="1"/>
  <c r="F1272" i="1"/>
  <c r="G1271" i="1"/>
  <c r="F1271" i="1"/>
  <c r="G1270" i="1"/>
  <c r="F1270" i="1"/>
  <c r="G1269" i="1"/>
  <c r="F1269" i="1"/>
  <c r="G1268" i="1"/>
  <c r="F1268" i="1"/>
  <c r="G1267" i="1"/>
  <c r="F1267" i="1"/>
  <c r="G1266" i="1"/>
  <c r="F1266" i="1"/>
  <c r="G1265" i="1"/>
  <c r="F1265" i="1"/>
  <c r="G1264" i="1"/>
  <c r="F1264" i="1"/>
  <c r="G1262" i="1"/>
  <c r="F1262" i="1"/>
  <c r="G1261" i="1"/>
  <c r="F1261" i="1"/>
  <c r="G1260" i="1"/>
  <c r="F1260" i="1"/>
  <c r="G1259" i="1"/>
  <c r="F1259" i="1"/>
  <c r="G1258" i="1"/>
  <c r="F1258" i="1"/>
  <c r="G1257" i="1"/>
  <c r="F1257" i="1"/>
  <c r="G1256" i="1"/>
  <c r="F1256" i="1"/>
  <c r="G1255" i="1"/>
  <c r="F1255" i="1"/>
  <c r="G1254" i="1"/>
  <c r="F1254" i="1"/>
  <c r="G1253" i="1"/>
  <c r="F1253" i="1"/>
  <c r="G1252" i="1"/>
  <c r="F1252" i="1"/>
  <c r="G1251" i="1"/>
  <c r="F1251" i="1"/>
  <c r="G1250" i="1"/>
  <c r="F1250" i="1"/>
  <c r="G1249" i="1"/>
  <c r="F1249" i="1"/>
  <c r="G1248" i="1"/>
  <c r="F1248" i="1"/>
  <c r="G1247" i="1"/>
  <c r="F1247" i="1"/>
  <c r="G1246" i="1"/>
  <c r="F1246" i="1"/>
  <c r="G1245" i="1"/>
  <c r="F1245" i="1"/>
  <c r="G1244" i="1"/>
  <c r="F1244" i="1"/>
  <c r="G1243" i="1"/>
  <c r="F1243" i="1"/>
  <c r="G1242" i="1"/>
  <c r="F1242" i="1"/>
  <c r="G1241" i="1"/>
  <c r="F1241" i="1"/>
  <c r="G1240" i="1"/>
  <c r="F1240" i="1"/>
  <c r="G1239" i="1"/>
  <c r="F1239" i="1"/>
  <c r="G1238" i="1"/>
  <c r="F1238" i="1"/>
  <c r="G1237" i="1"/>
  <c r="F1237" i="1"/>
  <c r="G1236" i="1"/>
  <c r="F1236" i="1"/>
  <c r="G1235" i="1"/>
  <c r="F1235" i="1"/>
  <c r="G1234" i="1"/>
  <c r="F1234" i="1"/>
  <c r="G1233" i="1"/>
  <c r="F1233" i="1"/>
  <c r="G1232" i="1"/>
  <c r="F1232" i="1"/>
  <c r="G1231" i="1"/>
  <c r="F1231" i="1"/>
  <c r="G1230" i="1"/>
  <c r="F1230" i="1"/>
  <c r="G1229" i="1"/>
  <c r="F1229" i="1"/>
  <c r="G1228" i="1"/>
  <c r="F1228" i="1"/>
  <c r="G1227" i="1"/>
  <c r="F1227" i="1"/>
  <c r="G1226" i="1"/>
  <c r="F1226" i="1"/>
  <c r="G1225" i="1"/>
  <c r="F1225" i="1"/>
  <c r="G1224" i="1"/>
  <c r="F1224" i="1"/>
  <c r="G1223" i="1"/>
  <c r="F1223" i="1"/>
  <c r="G1222" i="1"/>
  <c r="F1222" i="1"/>
  <c r="G1221" i="1"/>
  <c r="F1221" i="1"/>
  <c r="G1220" i="1"/>
  <c r="F1220" i="1"/>
  <c r="G1219" i="1"/>
  <c r="F1219" i="1"/>
  <c r="G1218" i="1"/>
  <c r="F1218" i="1"/>
  <c r="G1217" i="1"/>
  <c r="F1217" i="1"/>
  <c r="G1216" i="1"/>
  <c r="F1216" i="1"/>
  <c r="G1215" i="1"/>
  <c r="F1215" i="1"/>
  <c r="G1214" i="1"/>
  <c r="F1214" i="1"/>
  <c r="G1213" i="1"/>
  <c r="F1213" i="1"/>
  <c r="G1212" i="1"/>
  <c r="F1212" i="1"/>
  <c r="G1211" i="1"/>
  <c r="F1211" i="1"/>
  <c r="G1210" i="1"/>
  <c r="F1210" i="1"/>
  <c r="G1208" i="1"/>
  <c r="F1208" i="1"/>
  <c r="G1207" i="1"/>
  <c r="F1207" i="1"/>
  <c r="G1206" i="1"/>
  <c r="F1206" i="1"/>
  <c r="G1205" i="1"/>
  <c r="F1205" i="1"/>
  <c r="G1204" i="1"/>
  <c r="F1204" i="1"/>
  <c r="G1203" i="1"/>
  <c r="F1203" i="1"/>
  <c r="G1202" i="1"/>
  <c r="F1202" i="1"/>
  <c r="G1201" i="1"/>
  <c r="F1201" i="1"/>
  <c r="G1200" i="1"/>
  <c r="F1200" i="1"/>
  <c r="G1199" i="1"/>
  <c r="F1199" i="1"/>
  <c r="G1198" i="1"/>
  <c r="F1198" i="1"/>
  <c r="G1197" i="1"/>
  <c r="F1197" i="1"/>
  <c r="G1196" i="1"/>
  <c r="F1196" i="1"/>
  <c r="G1195" i="1"/>
  <c r="F1195" i="1"/>
  <c r="G1194" i="1"/>
  <c r="F1194" i="1"/>
  <c r="G1193" i="1"/>
  <c r="F1193" i="1"/>
  <c r="G1192" i="1"/>
  <c r="F1192" i="1"/>
  <c r="G1191" i="1"/>
  <c r="F1191" i="1"/>
  <c r="G1190" i="1"/>
  <c r="F1190" i="1"/>
  <c r="G1189" i="1"/>
  <c r="F1189" i="1"/>
  <c r="G1188" i="1"/>
  <c r="F1188" i="1"/>
  <c r="G1187" i="1"/>
  <c r="F1187" i="1"/>
  <c r="G1186" i="1"/>
  <c r="F1186" i="1"/>
  <c r="G1185" i="1"/>
  <c r="F1185" i="1"/>
  <c r="G1184" i="1"/>
  <c r="F1184" i="1"/>
  <c r="G1183" i="1"/>
  <c r="F1183" i="1"/>
  <c r="G1182" i="1"/>
  <c r="F1182" i="1"/>
  <c r="G1181" i="1"/>
  <c r="F1181" i="1"/>
  <c r="G1180" i="1"/>
  <c r="F1180" i="1"/>
  <c r="G1179" i="1"/>
  <c r="F1179" i="1"/>
  <c r="G1178" i="1"/>
  <c r="F1178" i="1"/>
  <c r="G1177" i="1"/>
  <c r="F1177" i="1"/>
  <c r="G1176" i="1"/>
  <c r="F1176" i="1"/>
  <c r="G1175" i="1"/>
  <c r="F1175" i="1"/>
  <c r="G1174" i="1"/>
  <c r="F1174" i="1"/>
  <c r="G1173" i="1"/>
  <c r="F1173" i="1"/>
  <c r="G1172" i="1"/>
  <c r="F1172" i="1"/>
  <c r="F1171" i="1"/>
  <c r="G1170" i="1"/>
  <c r="F1170" i="1"/>
  <c r="G1169" i="1"/>
  <c r="F1169" i="1"/>
  <c r="G1168" i="1"/>
  <c r="F1168" i="1"/>
  <c r="G1167" i="1"/>
  <c r="F1167" i="1"/>
  <c r="G1166" i="1"/>
  <c r="F1166" i="1"/>
  <c r="G1165" i="1"/>
  <c r="F1165" i="1"/>
  <c r="G1164" i="1"/>
  <c r="F1164" i="1"/>
  <c r="G1163" i="1"/>
  <c r="F1163" i="1"/>
  <c r="G1162" i="1"/>
  <c r="F1162" i="1"/>
  <c r="G1161" i="1"/>
  <c r="F1161" i="1"/>
  <c r="G1160" i="1"/>
  <c r="F1160" i="1"/>
  <c r="G1159" i="1"/>
  <c r="F1159" i="1"/>
  <c r="G1158" i="1"/>
  <c r="F1158" i="1"/>
  <c r="G1157" i="1"/>
  <c r="F1157" i="1"/>
  <c r="G1156" i="1"/>
  <c r="F1156" i="1"/>
  <c r="G1155" i="1"/>
  <c r="F1155" i="1"/>
  <c r="G1154" i="1"/>
  <c r="F1154" i="1"/>
  <c r="G1153" i="1"/>
  <c r="F1153" i="1"/>
  <c r="G1152" i="1"/>
  <c r="F1152" i="1"/>
  <c r="G1151" i="1"/>
  <c r="F1151" i="1"/>
  <c r="G1150" i="1"/>
  <c r="F1150" i="1"/>
  <c r="G1149" i="1"/>
  <c r="F1149" i="1"/>
  <c r="G1148" i="1"/>
  <c r="F1148" i="1"/>
  <c r="G1147" i="1"/>
  <c r="F1147" i="1"/>
  <c r="G1146" i="1"/>
  <c r="F1146" i="1"/>
  <c r="G1145" i="1"/>
  <c r="F1145" i="1"/>
  <c r="G1144" i="1"/>
  <c r="F1144" i="1"/>
  <c r="G1143" i="1"/>
  <c r="F1143" i="1"/>
  <c r="G1142" i="1"/>
  <c r="F1142" i="1"/>
  <c r="G1141" i="1"/>
  <c r="F1141" i="1"/>
  <c r="G1140" i="1"/>
  <c r="F1140" i="1"/>
  <c r="G1139" i="1"/>
  <c r="F1139" i="1"/>
  <c r="G1138" i="1"/>
  <c r="F1138" i="1"/>
  <c r="G1137" i="1"/>
  <c r="F1137" i="1"/>
  <c r="G1136" i="1"/>
  <c r="F1136" i="1"/>
  <c r="G1135" i="1"/>
  <c r="F1135" i="1"/>
  <c r="G1134" i="1"/>
  <c r="F1134" i="1"/>
  <c r="G1133" i="1"/>
  <c r="F1133" i="1"/>
  <c r="G1132" i="1"/>
  <c r="F1132" i="1"/>
  <c r="G1131" i="1"/>
  <c r="F1131" i="1"/>
  <c r="G1130" i="1"/>
  <c r="F1130" i="1"/>
  <c r="G1129" i="1"/>
  <c r="F1129" i="1"/>
  <c r="G1128" i="1"/>
  <c r="F1128" i="1"/>
  <c r="G1127" i="1"/>
  <c r="F1127" i="1"/>
  <c r="G1126" i="1"/>
  <c r="F1126" i="1"/>
  <c r="G1125" i="1"/>
  <c r="F1125" i="1"/>
  <c r="G1124" i="1"/>
  <c r="F1124" i="1"/>
  <c r="G1123" i="1"/>
  <c r="F1123" i="1"/>
  <c r="G1122" i="1"/>
  <c r="F1122" i="1"/>
  <c r="G1121" i="1"/>
  <c r="F1121" i="1"/>
  <c r="G1120" i="1"/>
  <c r="F1120" i="1"/>
  <c r="G1119" i="1"/>
  <c r="F1119" i="1"/>
  <c r="G1118" i="1"/>
  <c r="F1118" i="1"/>
  <c r="G1117" i="1"/>
  <c r="F1117" i="1"/>
  <c r="G1116" i="1"/>
  <c r="F1116" i="1"/>
  <c r="G1115" i="1"/>
  <c r="F1115" i="1"/>
  <c r="G1114" i="1"/>
  <c r="F1114" i="1"/>
  <c r="G1113" i="1"/>
  <c r="F1113" i="1"/>
  <c r="G1112" i="1"/>
  <c r="F1112" i="1"/>
  <c r="G1111" i="1"/>
  <c r="F1111" i="1"/>
  <c r="G1110" i="1"/>
  <c r="F1110" i="1"/>
  <c r="G1109" i="1"/>
  <c r="F1109" i="1"/>
  <c r="G1108" i="1"/>
  <c r="F1108" i="1"/>
  <c r="G1107" i="1"/>
  <c r="F1107" i="1"/>
  <c r="G1106" i="1"/>
  <c r="F1106" i="1"/>
  <c r="G1105" i="1"/>
  <c r="F1105" i="1"/>
  <c r="G1104" i="1"/>
  <c r="F1104" i="1"/>
  <c r="G1103" i="1"/>
  <c r="F1103" i="1"/>
  <c r="G1102" i="1"/>
  <c r="F1102" i="1"/>
  <c r="G1101" i="1"/>
  <c r="F1101" i="1"/>
  <c r="G1100" i="1"/>
  <c r="F1100" i="1"/>
  <c r="G1099" i="1"/>
  <c r="F1099" i="1"/>
  <c r="G1098" i="1"/>
  <c r="F1098" i="1"/>
  <c r="G1097" i="1"/>
  <c r="F1097" i="1"/>
  <c r="G1096" i="1"/>
  <c r="F1096" i="1"/>
  <c r="G1095" i="1"/>
  <c r="F1095" i="1"/>
  <c r="G1094" i="1"/>
  <c r="F1094" i="1"/>
  <c r="G1093" i="1"/>
  <c r="F1093" i="1"/>
  <c r="G1092" i="1"/>
  <c r="F1092" i="1"/>
  <c r="G1091" i="1"/>
  <c r="F1091" i="1"/>
  <c r="G1090" i="1"/>
  <c r="F1090" i="1"/>
  <c r="G1089" i="1"/>
  <c r="F1089" i="1"/>
  <c r="G1088" i="1"/>
  <c r="F1088" i="1"/>
  <c r="G1087" i="1"/>
  <c r="F1087" i="1"/>
  <c r="G1086" i="1"/>
  <c r="F1086" i="1"/>
  <c r="G1085" i="1"/>
  <c r="F1085" i="1"/>
  <c r="G1084" i="1"/>
  <c r="F1084" i="1"/>
  <c r="G1083" i="1"/>
  <c r="F1083" i="1"/>
  <c r="G1082" i="1"/>
  <c r="F1082" i="1"/>
  <c r="G1081" i="1"/>
  <c r="F1081" i="1"/>
  <c r="G1080" i="1"/>
  <c r="F1080" i="1"/>
  <c r="G1079" i="1"/>
  <c r="F1079" i="1"/>
  <c r="G1078" i="1"/>
  <c r="F1078" i="1"/>
  <c r="G1077" i="1"/>
  <c r="F1077" i="1"/>
  <c r="G1076" i="1"/>
  <c r="F1076" i="1"/>
  <c r="G1075" i="1"/>
  <c r="F1075" i="1"/>
  <c r="G1074" i="1"/>
  <c r="F1074" i="1"/>
  <c r="G1073" i="1"/>
  <c r="F1073" i="1"/>
  <c r="G1072" i="1"/>
  <c r="F1072" i="1"/>
  <c r="G1071" i="1"/>
  <c r="F1071" i="1"/>
  <c r="G1070" i="1"/>
  <c r="F1070" i="1"/>
  <c r="G1069" i="1"/>
  <c r="F1069" i="1"/>
  <c r="G1068" i="1"/>
  <c r="F1068" i="1"/>
  <c r="G1067" i="1"/>
  <c r="F1067" i="1"/>
  <c r="G1066" i="1"/>
  <c r="F1066" i="1"/>
  <c r="G1065" i="1"/>
  <c r="F1065" i="1"/>
  <c r="G1064" i="1"/>
  <c r="F1064" i="1"/>
  <c r="G1063" i="1"/>
  <c r="F1063" i="1"/>
  <c r="G1062" i="1"/>
  <c r="F1062" i="1"/>
  <c r="G1061" i="1"/>
  <c r="F1061" i="1"/>
  <c r="G1060" i="1"/>
  <c r="F1060" i="1"/>
  <c r="G1059" i="1"/>
  <c r="F1059" i="1"/>
  <c r="G1058" i="1"/>
  <c r="F1058" i="1"/>
  <c r="G1057" i="1"/>
  <c r="F1057" i="1"/>
  <c r="G1056" i="1"/>
  <c r="F1056" i="1"/>
  <c r="G1055" i="1"/>
  <c r="F1055" i="1"/>
  <c r="G1054" i="1"/>
  <c r="F1054" i="1"/>
  <c r="G1053" i="1"/>
  <c r="F1053" i="1"/>
  <c r="G1052" i="1"/>
  <c r="F1052" i="1"/>
  <c r="G1051" i="1"/>
  <c r="F1051" i="1"/>
  <c r="G1050" i="1"/>
  <c r="F1050" i="1"/>
  <c r="G1049" i="1"/>
  <c r="F1049" i="1"/>
  <c r="G1048" i="1"/>
  <c r="F1048" i="1"/>
  <c r="G1047" i="1"/>
  <c r="F1047" i="1"/>
  <c r="G1046" i="1"/>
  <c r="F1046" i="1"/>
  <c r="G1045" i="1"/>
  <c r="F1045" i="1"/>
  <c r="G1044" i="1"/>
  <c r="F1044" i="1"/>
  <c r="G1043" i="1"/>
  <c r="F1043" i="1"/>
  <c r="G1042" i="1"/>
  <c r="F1042" i="1"/>
  <c r="G1041" i="1"/>
  <c r="F1041" i="1"/>
  <c r="G1040" i="1"/>
  <c r="F1040" i="1"/>
  <c r="G1039" i="1"/>
  <c r="F1039" i="1"/>
  <c r="G1038" i="1"/>
  <c r="F1038" i="1"/>
  <c r="G1037" i="1"/>
  <c r="F1037" i="1"/>
  <c r="G1036" i="1"/>
  <c r="F1036" i="1"/>
  <c r="G1035" i="1"/>
  <c r="F1035" i="1"/>
  <c r="G1034" i="1"/>
  <c r="F1034" i="1"/>
  <c r="G1033" i="1"/>
  <c r="F1033" i="1"/>
  <c r="G1032" i="1"/>
  <c r="F1032" i="1"/>
  <c r="G1031" i="1"/>
  <c r="F1031" i="1"/>
  <c r="G1030" i="1"/>
  <c r="F1030" i="1"/>
  <c r="G1029" i="1"/>
  <c r="F1029" i="1"/>
  <c r="G1028" i="1"/>
  <c r="F1028" i="1"/>
  <c r="G1027" i="1"/>
  <c r="F1027" i="1"/>
  <c r="G1026" i="1"/>
  <c r="F1026" i="1"/>
  <c r="G1025" i="1"/>
  <c r="F1025" i="1"/>
  <c r="G1024" i="1"/>
  <c r="F1024" i="1"/>
  <c r="G1023" i="1"/>
  <c r="F1023" i="1"/>
  <c r="G1022" i="1"/>
  <c r="F1022" i="1"/>
  <c r="G1021" i="1"/>
  <c r="F1021" i="1"/>
  <c r="G1020" i="1"/>
  <c r="F1020" i="1"/>
  <c r="G1019" i="1"/>
  <c r="F1019" i="1"/>
  <c r="G1018" i="1"/>
  <c r="F1018" i="1"/>
  <c r="G1017" i="1"/>
  <c r="F1017" i="1"/>
  <c r="G1016" i="1"/>
  <c r="F1016" i="1"/>
  <c r="G1015" i="1"/>
  <c r="F1015" i="1"/>
  <c r="G1014" i="1"/>
  <c r="F1014" i="1"/>
  <c r="G1013" i="1"/>
  <c r="F1013" i="1"/>
  <c r="G1012" i="1"/>
  <c r="F1012" i="1"/>
  <c r="G1011" i="1"/>
  <c r="F1011" i="1"/>
  <c r="G1010" i="1"/>
  <c r="F1010" i="1"/>
  <c r="G1009" i="1"/>
  <c r="F1009" i="1"/>
  <c r="G1008" i="1"/>
  <c r="F1008" i="1"/>
  <c r="G1007" i="1"/>
  <c r="F1007" i="1"/>
  <c r="G1006" i="1"/>
  <c r="F1006" i="1"/>
  <c r="G1005" i="1"/>
  <c r="F1005" i="1"/>
  <c r="G1004" i="1"/>
  <c r="F1004" i="1"/>
  <c r="G1003" i="1"/>
  <c r="F1003" i="1"/>
  <c r="G1002" i="1"/>
  <c r="F1002" i="1"/>
  <c r="G1001" i="1"/>
  <c r="F1001" i="1"/>
  <c r="G1000" i="1"/>
  <c r="F1000" i="1"/>
  <c r="G999" i="1"/>
  <c r="F999" i="1"/>
  <c r="G998" i="1"/>
  <c r="F998" i="1"/>
  <c r="G997" i="1"/>
  <c r="F997" i="1"/>
  <c r="G996" i="1"/>
  <c r="F996" i="1"/>
  <c r="G995" i="1"/>
  <c r="F995" i="1"/>
  <c r="G994" i="1"/>
  <c r="F994" i="1"/>
  <c r="G993" i="1"/>
  <c r="F993" i="1"/>
  <c r="G992" i="1"/>
  <c r="F992" i="1"/>
  <c r="G991" i="1"/>
  <c r="F991" i="1"/>
  <c r="G990" i="1"/>
  <c r="F990" i="1"/>
  <c r="G989" i="1"/>
  <c r="F989" i="1"/>
  <c r="G988" i="1"/>
  <c r="F988" i="1"/>
  <c r="G987" i="1"/>
  <c r="F987" i="1"/>
  <c r="G986" i="1"/>
  <c r="F986" i="1"/>
  <c r="G985" i="1"/>
  <c r="F985" i="1"/>
  <c r="G984" i="1"/>
  <c r="F984" i="1"/>
  <c r="G983" i="1"/>
  <c r="F983" i="1"/>
  <c r="G982" i="1"/>
  <c r="F982" i="1"/>
  <c r="G981" i="1"/>
  <c r="F981" i="1"/>
  <c r="G980" i="1"/>
  <c r="F980" i="1"/>
  <c r="G979" i="1"/>
  <c r="F979" i="1"/>
  <c r="G978" i="1"/>
  <c r="F978" i="1"/>
  <c r="G977" i="1"/>
  <c r="F977" i="1"/>
  <c r="G976" i="1"/>
  <c r="F976" i="1"/>
  <c r="G975" i="1"/>
  <c r="F975" i="1"/>
  <c r="G974" i="1"/>
  <c r="F974" i="1"/>
  <c r="G973" i="1"/>
  <c r="F973" i="1"/>
  <c r="G972" i="1"/>
  <c r="F972" i="1"/>
  <c r="G971" i="1"/>
  <c r="F971" i="1"/>
  <c r="G970" i="1"/>
  <c r="F970" i="1"/>
  <c r="G969" i="1"/>
  <c r="F969" i="1"/>
  <c r="G968" i="1"/>
  <c r="F968" i="1"/>
  <c r="G967" i="1"/>
  <c r="F967" i="1"/>
  <c r="G966" i="1"/>
  <c r="F966" i="1"/>
  <c r="G965" i="1"/>
  <c r="F965" i="1"/>
  <c r="G964" i="1"/>
  <c r="F964" i="1"/>
  <c r="G963" i="1"/>
  <c r="F963" i="1"/>
  <c r="G962" i="1"/>
  <c r="F962" i="1"/>
  <c r="G961" i="1"/>
  <c r="F961" i="1"/>
  <c r="G960" i="1"/>
  <c r="F960" i="1"/>
  <c r="G959" i="1"/>
  <c r="F959" i="1"/>
  <c r="G958" i="1"/>
  <c r="F958" i="1"/>
  <c r="G957" i="1"/>
  <c r="F957" i="1"/>
  <c r="G956" i="1"/>
  <c r="F956" i="1"/>
  <c r="G955" i="1"/>
  <c r="F955" i="1"/>
  <c r="G954" i="1"/>
  <c r="F954" i="1"/>
  <c r="G953" i="1"/>
  <c r="F953" i="1"/>
  <c r="G952" i="1"/>
  <c r="F952" i="1"/>
  <c r="G951" i="1"/>
  <c r="F951" i="1"/>
  <c r="G950" i="1"/>
  <c r="F950" i="1"/>
  <c r="G949" i="1"/>
  <c r="F949" i="1"/>
  <c r="G948" i="1"/>
  <c r="F948" i="1"/>
  <c r="G947" i="1"/>
  <c r="F947" i="1"/>
  <c r="G946" i="1"/>
  <c r="F946" i="1"/>
  <c r="G945" i="1"/>
  <c r="F945" i="1"/>
  <c r="G944" i="1"/>
  <c r="F944" i="1"/>
  <c r="G943" i="1"/>
  <c r="F943" i="1"/>
  <c r="G942" i="1"/>
  <c r="F942" i="1"/>
  <c r="G941" i="1"/>
  <c r="F941" i="1"/>
  <c r="G940" i="1"/>
  <c r="F940" i="1"/>
  <c r="G939" i="1"/>
  <c r="F939" i="1"/>
  <c r="G938" i="1"/>
  <c r="F938" i="1"/>
  <c r="G937" i="1"/>
  <c r="F937" i="1"/>
  <c r="G936" i="1"/>
  <c r="F936" i="1"/>
  <c r="G935" i="1"/>
  <c r="F935" i="1"/>
  <c r="G934" i="1"/>
  <c r="F934" i="1"/>
  <c r="G933" i="1"/>
  <c r="F933" i="1"/>
  <c r="G932" i="1"/>
  <c r="F932" i="1"/>
  <c r="G931" i="1"/>
  <c r="F931" i="1"/>
  <c r="G930" i="1"/>
  <c r="F930" i="1"/>
  <c r="G929" i="1"/>
  <c r="F929" i="1"/>
  <c r="G928" i="1"/>
  <c r="F928" i="1"/>
  <c r="G927" i="1"/>
  <c r="F927" i="1"/>
  <c r="G926" i="1"/>
  <c r="F926" i="1"/>
  <c r="G925" i="1"/>
  <c r="F925" i="1"/>
  <c r="G924" i="1"/>
  <c r="F924" i="1"/>
  <c r="G923" i="1"/>
  <c r="F923" i="1"/>
  <c r="G922" i="1"/>
  <c r="F922" i="1"/>
  <c r="G921" i="1"/>
  <c r="F921" i="1"/>
  <c r="G920" i="1"/>
  <c r="F920" i="1"/>
  <c r="G919" i="1"/>
  <c r="F919" i="1"/>
  <c r="G918" i="1"/>
  <c r="F918" i="1"/>
  <c r="G917" i="1"/>
  <c r="F917" i="1"/>
  <c r="G916" i="1"/>
  <c r="F916" i="1"/>
  <c r="G915" i="1"/>
  <c r="F915" i="1"/>
  <c r="G914" i="1"/>
  <c r="F914" i="1"/>
  <c r="G913" i="1"/>
  <c r="F913" i="1"/>
  <c r="G912" i="1"/>
  <c r="F912" i="1"/>
  <c r="G911" i="1"/>
  <c r="F911" i="1"/>
  <c r="G910" i="1"/>
  <c r="F910" i="1"/>
  <c r="G909" i="1"/>
  <c r="F909" i="1"/>
  <c r="G908" i="1"/>
  <c r="F908" i="1"/>
  <c r="G907" i="1"/>
  <c r="F907" i="1"/>
  <c r="G906" i="1"/>
  <c r="F906" i="1"/>
  <c r="G905" i="1"/>
  <c r="F905" i="1"/>
  <c r="G904" i="1"/>
  <c r="F904" i="1"/>
  <c r="G903" i="1"/>
  <c r="F903" i="1"/>
  <c r="G902" i="1"/>
  <c r="F902" i="1"/>
  <c r="G901" i="1"/>
  <c r="F901" i="1"/>
  <c r="G900" i="1"/>
  <c r="F900" i="1"/>
  <c r="G899" i="1"/>
  <c r="F899" i="1"/>
  <c r="G898" i="1"/>
  <c r="F898" i="1"/>
  <c r="G897" i="1"/>
  <c r="F897" i="1"/>
  <c r="G896" i="1"/>
  <c r="F896" i="1"/>
  <c r="G895" i="1"/>
  <c r="F895" i="1"/>
  <c r="G894" i="1"/>
  <c r="F894" i="1"/>
  <c r="G893" i="1"/>
  <c r="F893" i="1"/>
  <c r="G892" i="1"/>
  <c r="F892" i="1"/>
  <c r="G891" i="1"/>
  <c r="F891" i="1"/>
  <c r="G890" i="1"/>
  <c r="F890" i="1"/>
  <c r="G889" i="1"/>
  <c r="F889" i="1"/>
  <c r="G888" i="1"/>
  <c r="F888" i="1"/>
  <c r="G887" i="1"/>
  <c r="F887" i="1"/>
  <c r="G886" i="1"/>
  <c r="F886" i="1"/>
  <c r="G885" i="1"/>
  <c r="F885" i="1"/>
  <c r="G884" i="1"/>
  <c r="F884" i="1"/>
  <c r="G883" i="1"/>
  <c r="F883" i="1"/>
  <c r="G882" i="1"/>
  <c r="F882" i="1"/>
  <c r="G881" i="1"/>
  <c r="F881" i="1"/>
  <c r="G880" i="1"/>
  <c r="F880" i="1"/>
  <c r="G879" i="1"/>
  <c r="F879" i="1"/>
  <c r="G878" i="1"/>
  <c r="F878" i="1"/>
  <c r="G877" i="1"/>
  <c r="F877" i="1"/>
  <c r="G876" i="1"/>
  <c r="F876" i="1"/>
  <c r="G875" i="1"/>
  <c r="F875" i="1"/>
  <c r="G874" i="1"/>
  <c r="F874" i="1"/>
  <c r="G873" i="1"/>
  <c r="F873" i="1"/>
  <c r="G872" i="1"/>
  <c r="F872" i="1"/>
  <c r="G871" i="1"/>
  <c r="F871" i="1"/>
  <c r="G870" i="1"/>
  <c r="F870" i="1"/>
  <c r="G869" i="1"/>
  <c r="F869" i="1"/>
  <c r="G868" i="1"/>
  <c r="F868" i="1"/>
  <c r="G867" i="1"/>
  <c r="F867" i="1"/>
  <c r="G866" i="1"/>
  <c r="F866" i="1"/>
  <c r="G865" i="1"/>
  <c r="F865" i="1"/>
  <c r="G864" i="1"/>
  <c r="F864" i="1"/>
  <c r="G863" i="1"/>
  <c r="F863" i="1"/>
  <c r="G862" i="1"/>
  <c r="F862" i="1"/>
  <c r="G861" i="1"/>
  <c r="F861" i="1"/>
  <c r="G860" i="1"/>
  <c r="F860" i="1"/>
  <c r="G859" i="1"/>
  <c r="F859" i="1"/>
  <c r="G858" i="1"/>
  <c r="F858" i="1"/>
  <c r="G857" i="1"/>
  <c r="F857" i="1"/>
  <c r="G856" i="1"/>
  <c r="F856" i="1"/>
  <c r="G855" i="1"/>
  <c r="F855" i="1"/>
  <c r="G854" i="1"/>
  <c r="F854" i="1"/>
  <c r="G853" i="1"/>
  <c r="F853" i="1"/>
  <c r="G852" i="1"/>
  <c r="F852" i="1"/>
  <c r="G851" i="1"/>
  <c r="F851" i="1"/>
  <c r="G850" i="1"/>
  <c r="F850" i="1"/>
  <c r="G849" i="1"/>
  <c r="F849" i="1"/>
  <c r="G848" i="1"/>
  <c r="F848" i="1"/>
  <c r="G847" i="1"/>
  <c r="F847" i="1"/>
  <c r="G846" i="1"/>
  <c r="F846" i="1"/>
  <c r="G845" i="1"/>
  <c r="F845" i="1"/>
  <c r="G844" i="1"/>
  <c r="F844" i="1"/>
  <c r="G843" i="1"/>
  <c r="F843" i="1"/>
  <c r="G842" i="1"/>
  <c r="F842" i="1"/>
  <c r="G841" i="1"/>
  <c r="F841" i="1"/>
  <c r="G840" i="1"/>
  <c r="F840" i="1"/>
  <c r="G839" i="1"/>
  <c r="F839" i="1"/>
  <c r="G838" i="1"/>
  <c r="F838" i="1"/>
  <c r="G837" i="1"/>
  <c r="F837" i="1"/>
  <c r="G836" i="1"/>
  <c r="F836" i="1"/>
  <c r="G835" i="1"/>
  <c r="F835" i="1"/>
  <c r="G834" i="1"/>
  <c r="F834" i="1"/>
  <c r="G833" i="1"/>
  <c r="F833" i="1"/>
  <c r="G832" i="1"/>
  <c r="F832" i="1"/>
  <c r="G831" i="1"/>
  <c r="F831" i="1"/>
  <c r="G830" i="1"/>
  <c r="F830" i="1"/>
  <c r="G829" i="1"/>
  <c r="F829" i="1"/>
  <c r="G828" i="1"/>
  <c r="F828" i="1"/>
  <c r="G827" i="1"/>
  <c r="F827" i="1"/>
  <c r="G826" i="1"/>
  <c r="F826" i="1"/>
  <c r="G825" i="1"/>
  <c r="F825" i="1"/>
  <c r="G824" i="1"/>
  <c r="F824" i="1"/>
  <c r="G823" i="1"/>
  <c r="F823" i="1"/>
  <c r="G822" i="1"/>
  <c r="F822" i="1"/>
  <c r="G821" i="1"/>
  <c r="F821" i="1"/>
  <c r="G820" i="1"/>
  <c r="F820" i="1"/>
  <c r="G819" i="1"/>
  <c r="F819" i="1"/>
  <c r="G818" i="1"/>
  <c r="F818" i="1"/>
  <c r="G817" i="1"/>
  <c r="F817" i="1"/>
  <c r="G816" i="1"/>
  <c r="F816" i="1"/>
  <c r="G815" i="1"/>
  <c r="F815" i="1"/>
  <c r="G814" i="1"/>
  <c r="F814" i="1"/>
  <c r="G813" i="1"/>
  <c r="F813" i="1"/>
  <c r="G812" i="1"/>
  <c r="F812" i="1"/>
  <c r="G811" i="1"/>
  <c r="F811" i="1"/>
  <c r="G810" i="1"/>
  <c r="F810" i="1"/>
  <c r="G809" i="1"/>
  <c r="F809" i="1"/>
  <c r="G808" i="1"/>
  <c r="F808" i="1"/>
  <c r="G807" i="1"/>
  <c r="F807" i="1"/>
  <c r="G806" i="1"/>
  <c r="F806" i="1"/>
  <c r="G805" i="1"/>
  <c r="F805" i="1"/>
  <c r="G804" i="1"/>
  <c r="F804" i="1"/>
  <c r="G803" i="1"/>
  <c r="F803" i="1"/>
  <c r="G802" i="1"/>
  <c r="F802" i="1"/>
  <c r="G801" i="1"/>
  <c r="F801" i="1"/>
  <c r="G800" i="1"/>
  <c r="F800" i="1"/>
  <c r="G799" i="1"/>
  <c r="F799" i="1"/>
  <c r="G798" i="1"/>
  <c r="F798" i="1"/>
  <c r="G797" i="1"/>
  <c r="F797" i="1"/>
  <c r="G796" i="1"/>
  <c r="F796" i="1"/>
  <c r="G795" i="1"/>
  <c r="F795" i="1"/>
  <c r="G794" i="1"/>
  <c r="F794" i="1"/>
  <c r="G793" i="1"/>
  <c r="F793" i="1"/>
  <c r="G792" i="1"/>
  <c r="F792" i="1"/>
  <c r="G791" i="1"/>
  <c r="F791" i="1"/>
  <c r="G790" i="1"/>
  <c r="F790" i="1"/>
  <c r="G789" i="1"/>
  <c r="F789" i="1"/>
  <c r="G788" i="1"/>
  <c r="F788" i="1"/>
  <c r="G787" i="1"/>
  <c r="F787" i="1"/>
  <c r="G786" i="1"/>
  <c r="F786" i="1"/>
  <c r="G785" i="1"/>
  <c r="F785" i="1"/>
  <c r="G784" i="1"/>
  <c r="F784" i="1"/>
  <c r="G783" i="1"/>
  <c r="F783" i="1"/>
  <c r="G782" i="1"/>
  <c r="F782" i="1"/>
  <c r="G781" i="1"/>
  <c r="F781" i="1"/>
  <c r="G780" i="1"/>
  <c r="F780" i="1"/>
  <c r="G778" i="1"/>
  <c r="F778" i="1"/>
  <c r="G777" i="1"/>
  <c r="F777" i="1"/>
  <c r="G776" i="1"/>
  <c r="F776" i="1"/>
  <c r="G775" i="1"/>
  <c r="F775" i="1"/>
  <c r="G774" i="1"/>
  <c r="F774" i="1"/>
  <c r="G773" i="1"/>
  <c r="F773" i="1"/>
  <c r="G772" i="1"/>
  <c r="F772" i="1"/>
  <c r="G771" i="1"/>
  <c r="F771" i="1"/>
  <c r="G770" i="1"/>
  <c r="F770" i="1"/>
  <c r="G769" i="1"/>
  <c r="F769" i="1"/>
  <c r="G768" i="1"/>
  <c r="F768" i="1"/>
  <c r="G767" i="1"/>
  <c r="F767" i="1"/>
  <c r="G766" i="1"/>
  <c r="F766" i="1"/>
  <c r="G765" i="1"/>
  <c r="F765" i="1"/>
  <c r="G764" i="1"/>
  <c r="F764" i="1"/>
  <c r="G763" i="1"/>
  <c r="F763" i="1"/>
  <c r="G762" i="1"/>
  <c r="F762" i="1"/>
  <c r="G761" i="1"/>
  <c r="F761" i="1"/>
  <c r="G760" i="1"/>
  <c r="F760" i="1"/>
  <c r="G759" i="1"/>
  <c r="F759" i="1"/>
  <c r="G758" i="1"/>
  <c r="F758" i="1"/>
  <c r="G757" i="1"/>
  <c r="F757" i="1"/>
  <c r="G756" i="1"/>
  <c r="F756" i="1"/>
  <c r="G755" i="1"/>
  <c r="F755" i="1"/>
  <c r="G754" i="1"/>
  <c r="F754" i="1"/>
  <c r="G753" i="1"/>
  <c r="F753" i="1"/>
  <c r="G752" i="1"/>
  <c r="F752" i="1"/>
  <c r="G751" i="1"/>
  <c r="F751" i="1"/>
  <c r="G750" i="1"/>
  <c r="F750" i="1"/>
  <c r="G749" i="1"/>
  <c r="F749" i="1"/>
  <c r="G748" i="1"/>
  <c r="F748" i="1"/>
  <c r="G747" i="1"/>
  <c r="F747" i="1"/>
  <c r="G746" i="1"/>
  <c r="F746" i="1"/>
  <c r="G745" i="1"/>
  <c r="F745" i="1"/>
  <c r="G744" i="1"/>
  <c r="F744" i="1"/>
  <c r="G743" i="1"/>
  <c r="F743" i="1"/>
  <c r="G742" i="1"/>
  <c r="F742" i="1"/>
  <c r="G741" i="1"/>
  <c r="F741" i="1"/>
  <c r="G740" i="1"/>
  <c r="F740" i="1"/>
  <c r="G739" i="1"/>
  <c r="F739" i="1"/>
  <c r="G738" i="1"/>
  <c r="F738" i="1"/>
  <c r="G737" i="1"/>
  <c r="F737" i="1"/>
  <c r="G736" i="1"/>
  <c r="F736" i="1"/>
  <c r="G735" i="1"/>
  <c r="F735" i="1"/>
  <c r="G734" i="1"/>
  <c r="F734" i="1"/>
  <c r="G733" i="1"/>
  <c r="F733" i="1"/>
  <c r="G732" i="1"/>
  <c r="F732" i="1"/>
  <c r="G731" i="1"/>
  <c r="F731" i="1"/>
  <c r="G730" i="1"/>
  <c r="F730" i="1"/>
  <c r="G729" i="1"/>
  <c r="F729" i="1"/>
  <c r="G728" i="1"/>
  <c r="F728" i="1"/>
  <c r="G727" i="1"/>
  <c r="F727" i="1"/>
  <c r="G726" i="1"/>
  <c r="F726" i="1"/>
  <c r="G725" i="1"/>
  <c r="F725" i="1"/>
  <c r="G724" i="1"/>
  <c r="F724" i="1"/>
  <c r="G723" i="1"/>
  <c r="F723" i="1"/>
  <c r="G722" i="1"/>
  <c r="F722" i="1"/>
  <c r="G721" i="1"/>
  <c r="F721" i="1"/>
  <c r="G720" i="1"/>
  <c r="F720" i="1"/>
  <c r="G719" i="1"/>
  <c r="F719" i="1"/>
  <c r="G718" i="1"/>
  <c r="F718" i="1"/>
  <c r="G717" i="1"/>
  <c r="F717" i="1"/>
  <c r="G716" i="1"/>
  <c r="F716" i="1"/>
  <c r="G715" i="1"/>
  <c r="F715" i="1"/>
  <c r="G714" i="1"/>
  <c r="F714" i="1"/>
  <c r="G713" i="1"/>
  <c r="F713" i="1"/>
  <c r="G712" i="1"/>
  <c r="F712" i="1"/>
  <c r="G711" i="1"/>
  <c r="F711" i="1"/>
  <c r="G710" i="1"/>
  <c r="F710" i="1"/>
  <c r="G709" i="1"/>
  <c r="F709" i="1"/>
  <c r="G708" i="1"/>
  <c r="F708" i="1"/>
  <c r="G707" i="1"/>
  <c r="F707" i="1"/>
  <c r="G706" i="1"/>
  <c r="F706" i="1"/>
  <c r="G705" i="1"/>
  <c r="F705" i="1"/>
  <c r="G704" i="1"/>
  <c r="F704" i="1"/>
  <c r="G703" i="1"/>
  <c r="F703" i="1"/>
  <c r="G702" i="1"/>
  <c r="F702" i="1"/>
  <c r="G701" i="1"/>
  <c r="F701" i="1"/>
  <c r="G700" i="1"/>
  <c r="F700" i="1"/>
  <c r="G699" i="1"/>
  <c r="F699" i="1"/>
  <c r="G698" i="1"/>
  <c r="F698" i="1"/>
  <c r="G697" i="1"/>
  <c r="F697" i="1"/>
  <c r="G696" i="1"/>
  <c r="F696" i="1"/>
  <c r="G695" i="1"/>
  <c r="F695" i="1"/>
  <c r="G694" i="1"/>
  <c r="F694" i="1"/>
  <c r="G693" i="1"/>
  <c r="F693" i="1"/>
  <c r="G692" i="1"/>
  <c r="F692" i="1"/>
  <c r="G691" i="1"/>
  <c r="F691" i="1"/>
  <c r="G690" i="1"/>
  <c r="F690" i="1"/>
  <c r="G689" i="1"/>
  <c r="F689" i="1"/>
  <c r="G688" i="1"/>
  <c r="F688" i="1"/>
  <c r="G687" i="1"/>
  <c r="F687" i="1"/>
  <c r="G686" i="1"/>
  <c r="F686" i="1"/>
  <c r="G685" i="1"/>
  <c r="F685" i="1"/>
  <c r="G684" i="1"/>
  <c r="F684" i="1"/>
  <c r="G683" i="1"/>
  <c r="F683" i="1"/>
  <c r="G682" i="1"/>
  <c r="F682" i="1"/>
  <c r="G681" i="1"/>
  <c r="F681" i="1"/>
  <c r="G680" i="1"/>
  <c r="F680" i="1"/>
  <c r="G679" i="1"/>
  <c r="F679" i="1"/>
  <c r="G678" i="1"/>
  <c r="F678" i="1"/>
  <c r="G677" i="1"/>
  <c r="F677" i="1"/>
  <c r="G676" i="1"/>
  <c r="F676" i="1"/>
  <c r="G675" i="1"/>
  <c r="F675" i="1"/>
  <c r="G674" i="1"/>
  <c r="F674" i="1"/>
  <c r="G673" i="1"/>
  <c r="F673" i="1"/>
  <c r="G672" i="1"/>
  <c r="F672" i="1"/>
  <c r="G671" i="1"/>
  <c r="F671" i="1"/>
  <c r="G670" i="1"/>
  <c r="F670" i="1"/>
  <c r="G669" i="1"/>
  <c r="F669" i="1"/>
  <c r="G668" i="1"/>
  <c r="F668" i="1"/>
  <c r="G667" i="1"/>
  <c r="F667" i="1"/>
  <c r="G666" i="1"/>
  <c r="F666" i="1"/>
  <c r="G665" i="1"/>
  <c r="F665" i="1"/>
  <c r="G664" i="1"/>
  <c r="F664" i="1"/>
  <c r="G663" i="1"/>
  <c r="F663" i="1"/>
  <c r="G662" i="1"/>
  <c r="F662" i="1"/>
  <c r="G661" i="1"/>
  <c r="F661" i="1"/>
  <c r="G660" i="1"/>
  <c r="F660" i="1"/>
  <c r="G659" i="1"/>
  <c r="F659" i="1"/>
  <c r="G658" i="1"/>
  <c r="F658" i="1"/>
  <c r="G657" i="1"/>
  <c r="F657" i="1"/>
  <c r="G656" i="1"/>
  <c r="F656" i="1"/>
  <c r="G655" i="1"/>
  <c r="F655" i="1"/>
  <c r="G654" i="1"/>
  <c r="F654" i="1"/>
  <c r="G653" i="1"/>
  <c r="F653" i="1"/>
  <c r="G652" i="1"/>
  <c r="F652" i="1"/>
  <c r="G651" i="1"/>
  <c r="F651" i="1"/>
  <c r="G650" i="1"/>
  <c r="F650" i="1"/>
  <c r="G649" i="1"/>
  <c r="F649" i="1"/>
  <c r="G648" i="1"/>
  <c r="F648" i="1"/>
  <c r="G647" i="1"/>
  <c r="F647" i="1"/>
  <c r="G646" i="1"/>
  <c r="F646" i="1"/>
  <c r="G645" i="1"/>
  <c r="F645" i="1"/>
  <c r="G644" i="1"/>
  <c r="F644" i="1"/>
  <c r="G643" i="1"/>
  <c r="F643" i="1"/>
  <c r="G642" i="1"/>
  <c r="F642" i="1"/>
  <c r="G641" i="1"/>
  <c r="F641" i="1"/>
  <c r="G640" i="1"/>
  <c r="F640" i="1"/>
  <c r="G639" i="1"/>
  <c r="F639" i="1"/>
  <c r="G638" i="1"/>
  <c r="F638" i="1"/>
  <c r="G637" i="1"/>
  <c r="F637" i="1"/>
  <c r="G636" i="1"/>
  <c r="F636" i="1"/>
  <c r="G635" i="1"/>
  <c r="F635" i="1"/>
  <c r="G634" i="1"/>
  <c r="F634" i="1"/>
  <c r="G633" i="1"/>
  <c r="F633" i="1"/>
  <c r="G632" i="1"/>
  <c r="F632" i="1"/>
  <c r="G631" i="1"/>
  <c r="F631" i="1"/>
  <c r="G630" i="1"/>
  <c r="F630" i="1"/>
  <c r="G629" i="1"/>
  <c r="F629" i="1"/>
  <c r="G628" i="1"/>
  <c r="F628" i="1"/>
  <c r="G627" i="1"/>
  <c r="F627" i="1"/>
  <c r="G626" i="1"/>
  <c r="F626" i="1"/>
  <c r="G625" i="1"/>
  <c r="F625" i="1"/>
  <c r="G624" i="1"/>
  <c r="F624" i="1"/>
  <c r="G623" i="1"/>
  <c r="F623" i="1"/>
  <c r="G622" i="1"/>
  <c r="F622" i="1"/>
  <c r="G621" i="1"/>
  <c r="F621" i="1"/>
  <c r="G620" i="1"/>
  <c r="F620" i="1"/>
  <c r="G619" i="1"/>
  <c r="F619" i="1"/>
  <c r="G618" i="1"/>
  <c r="F618" i="1"/>
  <c r="G617" i="1"/>
  <c r="F617" i="1"/>
  <c r="G616" i="1"/>
  <c r="F616" i="1"/>
  <c r="G615" i="1"/>
  <c r="F615" i="1"/>
  <c r="G614" i="1"/>
  <c r="F614" i="1"/>
  <c r="G613" i="1"/>
  <c r="F613" i="1"/>
  <c r="G612" i="1"/>
  <c r="F612" i="1"/>
  <c r="G611" i="1"/>
  <c r="F611" i="1"/>
  <c r="G610" i="1"/>
  <c r="F610" i="1"/>
  <c r="G609" i="1"/>
  <c r="F609" i="1"/>
  <c r="G608" i="1"/>
  <c r="F608" i="1"/>
  <c r="G607" i="1"/>
  <c r="F607" i="1"/>
  <c r="G606" i="1"/>
  <c r="F606" i="1"/>
  <c r="G605" i="1"/>
  <c r="F605" i="1"/>
  <c r="G604" i="1"/>
  <c r="F604" i="1"/>
  <c r="G603" i="1"/>
  <c r="F603" i="1"/>
  <c r="G602" i="1"/>
  <c r="F602" i="1"/>
  <c r="G601" i="1"/>
  <c r="F601" i="1"/>
  <c r="G600" i="1"/>
  <c r="F600" i="1"/>
  <c r="G599" i="1"/>
  <c r="F599" i="1"/>
  <c r="G598" i="1"/>
  <c r="F598" i="1"/>
  <c r="G597" i="1"/>
  <c r="F597" i="1"/>
  <c r="G596" i="1"/>
  <c r="F596" i="1"/>
  <c r="G594" i="1"/>
  <c r="F594" i="1"/>
  <c r="G593" i="1"/>
  <c r="F593" i="1"/>
  <c r="G592" i="1"/>
  <c r="F592" i="1"/>
  <c r="G591" i="1"/>
  <c r="F591" i="1"/>
  <c r="G590" i="1"/>
  <c r="F590" i="1"/>
  <c r="G589" i="1"/>
  <c r="F589" i="1"/>
  <c r="G588" i="1"/>
  <c r="F588" i="1"/>
  <c r="G587" i="1"/>
  <c r="F587" i="1"/>
  <c r="G586" i="1"/>
  <c r="F586" i="1"/>
  <c r="G585" i="1"/>
  <c r="F585" i="1"/>
  <c r="G584" i="1"/>
  <c r="F584" i="1"/>
  <c r="G583" i="1"/>
  <c r="F583" i="1"/>
  <c r="G582" i="1"/>
  <c r="F582" i="1"/>
  <c r="G581" i="1"/>
  <c r="F581" i="1"/>
  <c r="G580" i="1"/>
  <c r="F580" i="1"/>
  <c r="G579" i="1"/>
  <c r="F579" i="1"/>
  <c r="G578" i="1"/>
  <c r="F578" i="1"/>
  <c r="G577" i="1"/>
  <c r="F577" i="1"/>
  <c r="G576" i="1"/>
  <c r="F576" i="1"/>
  <c r="G575" i="1"/>
  <c r="F575" i="1"/>
  <c r="G574" i="1"/>
  <c r="F574" i="1"/>
  <c r="G573" i="1"/>
  <c r="F573" i="1"/>
  <c r="G572" i="1"/>
  <c r="F572" i="1"/>
  <c r="G571" i="1"/>
  <c r="F571" i="1"/>
  <c r="G570" i="1"/>
  <c r="F570" i="1"/>
  <c r="G569" i="1"/>
  <c r="F569" i="1"/>
  <c r="G568" i="1"/>
  <c r="F568" i="1"/>
  <c r="G567" i="1"/>
  <c r="F567" i="1"/>
  <c r="G566" i="1"/>
  <c r="F566" i="1"/>
  <c r="G565" i="1"/>
  <c r="F565" i="1"/>
  <c r="G564" i="1"/>
  <c r="F564" i="1"/>
  <c r="G563" i="1"/>
  <c r="F563" i="1"/>
  <c r="G562" i="1"/>
  <c r="F562" i="1"/>
  <c r="G561" i="1"/>
  <c r="F561" i="1"/>
  <c r="G560" i="1"/>
  <c r="F560" i="1"/>
  <c r="G559" i="1"/>
  <c r="F559" i="1"/>
  <c r="G558" i="1"/>
  <c r="F558" i="1"/>
  <c r="G557" i="1"/>
  <c r="F557" i="1"/>
  <c r="G556" i="1"/>
  <c r="F556" i="1"/>
  <c r="G555" i="1"/>
  <c r="F555" i="1"/>
  <c r="G554" i="1"/>
  <c r="F554" i="1"/>
  <c r="G553" i="1"/>
  <c r="F553" i="1"/>
  <c r="G552" i="1"/>
  <c r="F552" i="1"/>
  <c r="G551" i="1"/>
  <c r="F551" i="1"/>
  <c r="G550" i="1"/>
  <c r="F550" i="1"/>
  <c r="G549" i="1"/>
  <c r="F549" i="1"/>
  <c r="G548" i="1"/>
  <c r="F548" i="1"/>
  <c r="G547" i="1"/>
  <c r="F547" i="1"/>
  <c r="G546" i="1"/>
  <c r="F546" i="1"/>
  <c r="G545" i="1"/>
  <c r="F545" i="1"/>
  <c r="G544" i="1"/>
  <c r="F544" i="1"/>
  <c r="G543" i="1"/>
  <c r="F543" i="1"/>
  <c r="G542" i="1"/>
  <c r="F542" i="1"/>
  <c r="G541" i="1"/>
  <c r="F541" i="1"/>
  <c r="G540" i="1"/>
  <c r="F540" i="1"/>
  <c r="G539" i="1"/>
  <c r="F539" i="1"/>
  <c r="G538" i="1"/>
  <c r="F538" i="1"/>
  <c r="G537" i="1"/>
  <c r="F537" i="1"/>
  <c r="G536" i="1"/>
  <c r="F536" i="1"/>
  <c r="G535" i="1"/>
  <c r="F535" i="1"/>
  <c r="G534" i="1"/>
  <c r="F534" i="1"/>
  <c r="G533" i="1"/>
  <c r="F533" i="1"/>
  <c r="G532" i="1"/>
  <c r="F532" i="1"/>
  <c r="G531" i="1"/>
  <c r="F531" i="1"/>
  <c r="G530" i="1"/>
  <c r="F530" i="1"/>
  <c r="G529" i="1"/>
  <c r="F529" i="1"/>
  <c r="G528" i="1"/>
  <c r="F528" i="1"/>
  <c r="G527" i="1"/>
  <c r="F527" i="1"/>
  <c r="G526" i="1"/>
  <c r="F526" i="1"/>
  <c r="G525" i="1"/>
  <c r="F525" i="1"/>
  <c r="G524" i="1"/>
  <c r="F524" i="1"/>
  <c r="G523" i="1"/>
  <c r="F523" i="1"/>
  <c r="G522" i="1"/>
  <c r="F522" i="1"/>
  <c r="G521" i="1"/>
  <c r="F521" i="1"/>
  <c r="G520" i="1"/>
  <c r="F520" i="1"/>
  <c r="G519" i="1"/>
  <c r="F519" i="1"/>
  <c r="G518" i="1"/>
  <c r="F518" i="1"/>
  <c r="G517" i="1"/>
  <c r="F517" i="1"/>
  <c r="G516" i="1"/>
  <c r="F516" i="1"/>
  <c r="G515" i="1"/>
  <c r="F515" i="1"/>
  <c r="G514" i="1"/>
  <c r="F514" i="1"/>
  <c r="G513" i="1"/>
  <c r="F513" i="1"/>
  <c r="G512" i="1"/>
  <c r="F512" i="1"/>
  <c r="G511" i="1"/>
  <c r="F511" i="1"/>
  <c r="G510" i="1"/>
  <c r="F510" i="1"/>
  <c r="G509" i="1"/>
  <c r="F509" i="1"/>
  <c r="G508" i="1"/>
  <c r="F508" i="1"/>
  <c r="G507" i="1"/>
  <c r="F507" i="1"/>
  <c r="G506" i="1"/>
  <c r="F506" i="1"/>
  <c r="G505" i="1"/>
  <c r="F505" i="1"/>
  <c r="G504" i="1"/>
  <c r="F504" i="1"/>
  <c r="G503" i="1"/>
  <c r="F503" i="1"/>
  <c r="G502" i="1"/>
  <c r="F502" i="1"/>
  <c r="G501" i="1"/>
  <c r="F501" i="1"/>
  <c r="G500" i="1"/>
  <c r="F500" i="1"/>
  <c r="G499" i="1"/>
  <c r="F499" i="1"/>
  <c r="G498" i="1"/>
  <c r="F498" i="1"/>
  <c r="G497" i="1"/>
  <c r="F497" i="1"/>
  <c r="G496" i="1"/>
  <c r="F496" i="1"/>
  <c r="G495" i="1"/>
  <c r="F495" i="1"/>
  <c r="G494" i="1"/>
  <c r="F494" i="1"/>
  <c r="G493" i="1"/>
  <c r="F493" i="1"/>
  <c r="G492" i="1"/>
  <c r="F492" i="1"/>
  <c r="G491" i="1"/>
  <c r="F491" i="1"/>
  <c r="G490" i="1"/>
  <c r="F490" i="1"/>
  <c r="G489" i="1"/>
  <c r="F489" i="1"/>
  <c r="G488" i="1"/>
  <c r="F488" i="1"/>
  <c r="G487" i="1"/>
  <c r="F487" i="1"/>
  <c r="G486" i="1"/>
  <c r="F486" i="1"/>
  <c r="G485" i="1"/>
  <c r="F485" i="1"/>
  <c r="G484" i="1"/>
  <c r="F484" i="1"/>
  <c r="G483" i="1"/>
  <c r="F483" i="1"/>
  <c r="G482" i="1"/>
  <c r="F482" i="1"/>
  <c r="G481" i="1"/>
  <c r="F481" i="1"/>
  <c r="G480" i="1"/>
  <c r="F480" i="1"/>
  <c r="G479" i="1"/>
  <c r="F479" i="1"/>
  <c r="G478" i="1"/>
  <c r="F478" i="1"/>
  <c r="G477" i="1"/>
  <c r="F477" i="1"/>
  <c r="G476" i="1"/>
  <c r="F476" i="1"/>
  <c r="G475" i="1"/>
  <c r="F475" i="1"/>
  <c r="G474" i="1"/>
  <c r="F474" i="1"/>
  <c r="G473" i="1"/>
  <c r="F473" i="1"/>
  <c r="G472" i="1"/>
  <c r="F472" i="1"/>
  <c r="G471" i="1"/>
  <c r="F471" i="1"/>
  <c r="G470" i="1"/>
  <c r="F470" i="1"/>
  <c r="G469" i="1"/>
  <c r="F469" i="1"/>
  <c r="G468" i="1"/>
  <c r="F468" i="1"/>
  <c r="G467" i="1"/>
  <c r="F467" i="1"/>
  <c r="G466" i="1"/>
  <c r="F466" i="1"/>
  <c r="G465" i="1"/>
  <c r="F465" i="1"/>
  <c r="G464" i="1"/>
  <c r="F464" i="1"/>
  <c r="G463" i="1"/>
  <c r="F463" i="1"/>
  <c r="G462" i="1"/>
  <c r="F462" i="1"/>
  <c r="G461" i="1"/>
  <c r="F461" i="1"/>
  <c r="G460" i="1"/>
  <c r="F460" i="1"/>
  <c r="G459" i="1"/>
  <c r="F459" i="1"/>
  <c r="G458" i="1"/>
  <c r="F458" i="1"/>
  <c r="G457" i="1"/>
  <c r="F457" i="1"/>
  <c r="G456" i="1"/>
  <c r="F456" i="1"/>
  <c r="G455" i="1"/>
  <c r="F455" i="1"/>
  <c r="G454" i="1"/>
  <c r="F454" i="1"/>
  <c r="G453" i="1"/>
  <c r="F453" i="1"/>
  <c r="G452" i="1"/>
  <c r="F452" i="1"/>
  <c r="G451" i="1"/>
  <c r="F451" i="1"/>
  <c r="G450" i="1"/>
  <c r="F450" i="1"/>
  <c r="G449" i="1"/>
  <c r="F449" i="1"/>
  <c r="G448" i="1"/>
  <c r="F448" i="1"/>
  <c r="G447" i="1"/>
  <c r="F447" i="1"/>
  <c r="G446" i="1"/>
  <c r="F446" i="1"/>
  <c r="G445" i="1"/>
  <c r="F445" i="1"/>
  <c r="G444" i="1"/>
  <c r="F444" i="1"/>
  <c r="G443" i="1"/>
  <c r="F443" i="1"/>
  <c r="G442" i="1"/>
  <c r="F442" i="1"/>
  <c r="G441" i="1"/>
  <c r="F441" i="1"/>
  <c r="G440" i="1"/>
  <c r="F440" i="1"/>
  <c r="G439" i="1"/>
  <c r="F439" i="1"/>
  <c r="G438" i="1"/>
  <c r="F438" i="1"/>
  <c r="G437" i="1"/>
  <c r="F437" i="1"/>
  <c r="G436" i="1"/>
  <c r="F436" i="1"/>
  <c r="G435" i="1"/>
  <c r="F435" i="1"/>
  <c r="G434" i="1"/>
  <c r="F434" i="1"/>
  <c r="G433" i="1"/>
  <c r="F433" i="1"/>
  <c r="G432" i="1"/>
  <c r="F432" i="1"/>
  <c r="G431" i="1"/>
  <c r="F431" i="1"/>
  <c r="G430" i="1"/>
  <c r="F430" i="1"/>
  <c r="G429" i="1"/>
  <c r="F429" i="1"/>
  <c r="G428" i="1"/>
  <c r="F428" i="1"/>
  <c r="G427" i="1"/>
  <c r="F427" i="1"/>
  <c r="G426" i="1"/>
  <c r="F426" i="1"/>
  <c r="G425" i="1"/>
  <c r="F425" i="1"/>
  <c r="G424" i="1"/>
  <c r="F424" i="1"/>
  <c r="G423" i="1"/>
  <c r="F423" i="1"/>
  <c r="G422" i="1"/>
  <c r="F422" i="1"/>
  <c r="G421" i="1"/>
  <c r="F421" i="1"/>
  <c r="G420" i="1"/>
  <c r="F420" i="1"/>
  <c r="G419" i="1"/>
  <c r="F419" i="1"/>
  <c r="G418" i="1"/>
  <c r="F418" i="1"/>
  <c r="G417" i="1"/>
  <c r="F417" i="1"/>
  <c r="G416" i="1"/>
  <c r="F416" i="1"/>
  <c r="G415" i="1"/>
  <c r="F415" i="1"/>
  <c r="G414" i="1"/>
  <c r="F414" i="1"/>
  <c r="G413" i="1"/>
  <c r="F413" i="1"/>
  <c r="G412" i="1"/>
  <c r="F412" i="1"/>
  <c r="G411" i="1"/>
  <c r="F411" i="1"/>
  <c r="G410" i="1"/>
  <c r="F410" i="1"/>
  <c r="G409" i="1"/>
  <c r="F409" i="1"/>
  <c r="G408" i="1"/>
  <c r="F408" i="1"/>
  <c r="G407" i="1"/>
  <c r="F407" i="1"/>
  <c r="G406" i="1"/>
  <c r="F406" i="1"/>
  <c r="G405" i="1"/>
  <c r="F405" i="1"/>
  <c r="G404" i="1"/>
  <c r="F404" i="1"/>
  <c r="G403" i="1"/>
  <c r="F403" i="1"/>
  <c r="G402" i="1"/>
  <c r="F402" i="1"/>
  <c r="G401" i="1"/>
  <c r="F401" i="1"/>
  <c r="G400" i="1"/>
  <c r="F400" i="1"/>
  <c r="G399" i="1"/>
  <c r="F399" i="1"/>
  <c r="G398" i="1"/>
  <c r="F398" i="1"/>
  <c r="G397" i="1"/>
  <c r="F397" i="1"/>
  <c r="G396" i="1"/>
  <c r="F396" i="1"/>
  <c r="G395" i="1"/>
  <c r="F395" i="1"/>
  <c r="G394" i="1"/>
  <c r="F394" i="1"/>
  <c r="G393" i="1"/>
  <c r="F393" i="1"/>
  <c r="G392" i="1"/>
  <c r="F392" i="1"/>
  <c r="G391" i="1"/>
  <c r="F391" i="1"/>
  <c r="G390" i="1"/>
  <c r="F390" i="1"/>
  <c r="G389" i="1"/>
  <c r="F389" i="1"/>
  <c r="G388" i="1"/>
  <c r="F388" i="1"/>
  <c r="G387" i="1"/>
  <c r="F387" i="1"/>
  <c r="G386" i="1"/>
  <c r="F386" i="1"/>
  <c r="G385" i="1"/>
  <c r="F385" i="1"/>
  <c r="G384" i="1"/>
  <c r="F384" i="1"/>
  <c r="G383" i="1"/>
  <c r="F383" i="1"/>
  <c r="G382" i="1"/>
  <c r="F382" i="1"/>
  <c r="G381" i="1"/>
  <c r="F381" i="1"/>
  <c r="G380" i="1"/>
  <c r="F380" i="1"/>
  <c r="G379" i="1"/>
  <c r="F379" i="1"/>
  <c r="G378" i="1"/>
  <c r="F378" i="1"/>
  <c r="G377" i="1"/>
  <c r="F377" i="1"/>
  <c r="G376" i="1"/>
  <c r="F376" i="1"/>
  <c r="G375" i="1"/>
  <c r="F375" i="1"/>
  <c r="G374" i="1"/>
  <c r="F374" i="1"/>
  <c r="G373" i="1"/>
  <c r="F373" i="1"/>
  <c r="G372" i="1"/>
  <c r="F372" i="1"/>
  <c r="G371" i="1"/>
  <c r="F371" i="1"/>
  <c r="G370" i="1"/>
  <c r="F370" i="1"/>
  <c r="G369" i="1"/>
  <c r="F369" i="1"/>
  <c r="G368" i="1"/>
  <c r="F368" i="1"/>
  <c r="G367" i="1"/>
  <c r="F367" i="1"/>
  <c r="G366" i="1"/>
  <c r="F366" i="1"/>
  <c r="G365" i="1"/>
  <c r="F365" i="1"/>
  <c r="G364" i="1"/>
  <c r="F364" i="1"/>
  <c r="G363" i="1"/>
  <c r="F363" i="1"/>
  <c r="G362" i="1"/>
  <c r="F362" i="1"/>
  <c r="G361" i="1"/>
  <c r="F361" i="1"/>
  <c r="G360" i="1"/>
  <c r="F360" i="1"/>
  <c r="G359" i="1"/>
  <c r="F359" i="1"/>
  <c r="G358" i="1"/>
  <c r="F358" i="1"/>
  <c r="G357" i="1"/>
  <c r="F357" i="1"/>
  <c r="G356" i="1"/>
  <c r="F356" i="1"/>
  <c r="G355" i="1"/>
  <c r="F355" i="1"/>
  <c r="G354" i="1"/>
  <c r="F354" i="1"/>
  <c r="G353" i="1"/>
  <c r="F353" i="1"/>
  <c r="G352" i="1"/>
  <c r="F352" i="1"/>
  <c r="G351" i="1"/>
  <c r="F351" i="1"/>
  <c r="G350" i="1"/>
  <c r="F350" i="1"/>
  <c r="G349" i="1"/>
  <c r="F349" i="1"/>
  <c r="G348" i="1"/>
  <c r="F348" i="1"/>
  <c r="G347" i="1"/>
  <c r="F347" i="1"/>
  <c r="G346" i="1"/>
  <c r="F346" i="1"/>
  <c r="G345" i="1"/>
  <c r="F345" i="1"/>
  <c r="G344" i="1"/>
  <c r="F344" i="1"/>
  <c r="G343" i="1"/>
  <c r="F343" i="1"/>
  <c r="G342" i="1"/>
  <c r="F342" i="1"/>
  <c r="G341" i="1"/>
  <c r="F341" i="1"/>
  <c r="G340" i="1"/>
  <c r="F340" i="1"/>
  <c r="G339" i="1"/>
  <c r="F339" i="1"/>
  <c r="G338" i="1"/>
  <c r="F338" i="1"/>
  <c r="G337" i="1"/>
  <c r="F337" i="1"/>
  <c r="G336" i="1"/>
  <c r="F336" i="1"/>
  <c r="G335" i="1"/>
  <c r="F335" i="1"/>
  <c r="G334" i="1"/>
  <c r="F334" i="1"/>
  <c r="G333" i="1"/>
  <c r="F333" i="1"/>
  <c r="G332" i="1"/>
  <c r="F332" i="1"/>
  <c r="G331" i="1"/>
  <c r="F331" i="1"/>
  <c r="G330" i="1"/>
  <c r="F330" i="1"/>
  <c r="G329" i="1"/>
  <c r="F329" i="1"/>
  <c r="G328" i="1"/>
  <c r="F328" i="1"/>
  <c r="G327" i="1"/>
  <c r="F327" i="1"/>
  <c r="G326" i="1"/>
  <c r="F326" i="1"/>
  <c r="G325" i="1"/>
  <c r="F325" i="1"/>
  <c r="G324" i="1"/>
  <c r="F324" i="1"/>
  <c r="G323" i="1"/>
  <c r="F323" i="1"/>
  <c r="G322" i="1"/>
  <c r="F322" i="1"/>
  <c r="G321" i="1"/>
  <c r="F321" i="1"/>
  <c r="G320" i="1"/>
  <c r="F320" i="1"/>
  <c r="G319" i="1"/>
  <c r="F319" i="1"/>
  <c r="G318" i="1"/>
  <c r="F318" i="1"/>
  <c r="G317" i="1"/>
  <c r="F317" i="1"/>
  <c r="G316" i="1"/>
  <c r="F316" i="1"/>
  <c r="G315" i="1"/>
  <c r="F315" i="1"/>
  <c r="G314" i="1"/>
  <c r="F314" i="1"/>
  <c r="G313" i="1"/>
  <c r="F313" i="1"/>
  <c r="G312" i="1"/>
  <c r="F312" i="1"/>
  <c r="G311" i="1"/>
  <c r="F311" i="1"/>
  <c r="G310" i="1"/>
  <c r="F310" i="1"/>
  <c r="G309" i="1"/>
  <c r="F309" i="1"/>
  <c r="G308" i="1"/>
  <c r="F308" i="1"/>
  <c r="G307" i="1"/>
  <c r="F307" i="1"/>
  <c r="G306" i="1"/>
  <c r="F306" i="1"/>
  <c r="G305" i="1"/>
  <c r="F305" i="1"/>
  <c r="G304" i="1"/>
  <c r="F304" i="1"/>
  <c r="G303" i="1"/>
  <c r="F303" i="1"/>
  <c r="G302" i="1"/>
  <c r="F302" i="1"/>
  <c r="G301" i="1"/>
  <c r="F301" i="1"/>
  <c r="G300" i="1"/>
  <c r="F300" i="1"/>
  <c r="G299" i="1"/>
  <c r="F299" i="1"/>
  <c r="G298" i="1"/>
  <c r="F298" i="1"/>
  <c r="G297" i="1"/>
  <c r="F297" i="1"/>
  <c r="G296" i="1"/>
  <c r="F296" i="1"/>
  <c r="G295" i="1"/>
  <c r="F295" i="1"/>
  <c r="G294" i="1"/>
  <c r="F294" i="1"/>
  <c r="G293" i="1"/>
  <c r="F293" i="1"/>
  <c r="G292" i="1"/>
  <c r="F292" i="1"/>
  <c r="G291" i="1"/>
  <c r="F291" i="1"/>
  <c r="G290" i="1"/>
  <c r="F290" i="1"/>
  <c r="G289" i="1"/>
  <c r="F289" i="1"/>
  <c r="G288" i="1"/>
  <c r="F288" i="1"/>
  <c r="G287" i="1"/>
  <c r="F287" i="1"/>
  <c r="G286" i="1"/>
  <c r="F286" i="1"/>
  <c r="G285" i="1"/>
  <c r="F285" i="1"/>
  <c r="G284" i="1"/>
  <c r="F284" i="1"/>
  <c r="G283" i="1"/>
  <c r="F283" i="1"/>
  <c r="G282" i="1"/>
  <c r="F282" i="1"/>
  <c r="G281" i="1"/>
  <c r="F281" i="1"/>
  <c r="G280" i="1"/>
  <c r="F280" i="1"/>
  <c r="G279" i="1"/>
  <c r="F279" i="1"/>
  <c r="G278" i="1"/>
  <c r="F278" i="1"/>
  <c r="G277" i="1"/>
  <c r="F277" i="1"/>
  <c r="G276" i="1"/>
  <c r="F276" i="1"/>
  <c r="G275" i="1"/>
  <c r="F275" i="1"/>
  <c r="G274" i="1"/>
  <c r="F274" i="1"/>
  <c r="G273" i="1"/>
  <c r="F273" i="1"/>
  <c r="G272" i="1"/>
  <c r="F272" i="1"/>
  <c r="G271" i="1"/>
  <c r="F271" i="1"/>
  <c r="G270" i="1"/>
  <c r="F270" i="1"/>
  <c r="G269" i="1"/>
  <c r="F269" i="1"/>
  <c r="G268" i="1"/>
  <c r="F268" i="1"/>
  <c r="G267" i="1"/>
  <c r="F267" i="1"/>
  <c r="G266" i="1"/>
  <c r="F266" i="1"/>
  <c r="G265" i="1"/>
  <c r="F265" i="1"/>
  <c r="G264" i="1"/>
  <c r="F264" i="1"/>
  <c r="G263" i="1"/>
  <c r="F263" i="1"/>
  <c r="G262" i="1"/>
  <c r="F262" i="1"/>
  <c r="G261" i="1"/>
  <c r="F261" i="1"/>
  <c r="G260" i="1"/>
  <c r="F260" i="1"/>
  <c r="G259" i="1"/>
  <c r="F259" i="1"/>
  <c r="G258" i="1"/>
  <c r="F258" i="1"/>
  <c r="G257" i="1"/>
  <c r="F257" i="1"/>
  <c r="G256" i="1"/>
  <c r="F256" i="1"/>
  <c r="G255" i="1"/>
  <c r="F255" i="1"/>
  <c r="G254" i="1"/>
  <c r="F254" i="1"/>
  <c r="G253" i="1"/>
  <c r="F253" i="1"/>
  <c r="G252" i="1"/>
  <c r="F252" i="1"/>
  <c r="G251" i="1"/>
  <c r="F251" i="1"/>
  <c r="G250" i="1"/>
  <c r="F250" i="1"/>
  <c r="G249" i="1"/>
  <c r="F249" i="1"/>
  <c r="G248" i="1"/>
  <c r="F248" i="1"/>
  <c r="G247" i="1"/>
  <c r="F247" i="1"/>
  <c r="G246" i="1"/>
  <c r="F246" i="1"/>
  <c r="G245" i="1"/>
  <c r="F245" i="1"/>
  <c r="G244" i="1"/>
  <c r="F244" i="1"/>
  <c r="G243" i="1"/>
  <c r="F243" i="1"/>
  <c r="G242" i="1"/>
  <c r="F242" i="1"/>
  <c r="G241" i="1"/>
  <c r="F241" i="1"/>
  <c r="G240" i="1"/>
  <c r="F240" i="1"/>
  <c r="G239" i="1"/>
  <c r="F239" i="1"/>
  <c r="G238" i="1"/>
  <c r="F238" i="1"/>
  <c r="G237" i="1"/>
  <c r="F237" i="1"/>
  <c r="G236" i="1"/>
  <c r="F236" i="1"/>
  <c r="G235" i="1"/>
  <c r="F235" i="1"/>
  <c r="G234" i="1"/>
  <c r="F234" i="1"/>
  <c r="G233" i="1"/>
  <c r="F233" i="1"/>
  <c r="G232" i="1"/>
  <c r="F232" i="1"/>
  <c r="G231" i="1"/>
  <c r="F231" i="1"/>
  <c r="G230" i="1"/>
  <c r="F230" i="1"/>
  <c r="G229" i="1"/>
  <c r="F229" i="1"/>
  <c r="G228" i="1"/>
  <c r="F228" i="1"/>
  <c r="G227" i="1"/>
  <c r="F227" i="1"/>
  <c r="G226" i="1"/>
  <c r="F226" i="1"/>
  <c r="G225" i="1"/>
  <c r="F225" i="1"/>
  <c r="G224" i="1"/>
  <c r="F224" i="1"/>
  <c r="G223" i="1"/>
  <c r="F223" i="1"/>
  <c r="G222" i="1"/>
  <c r="F222" i="1"/>
  <c r="G221" i="1"/>
  <c r="F221" i="1"/>
  <c r="G220" i="1"/>
  <c r="F220" i="1"/>
  <c r="G219" i="1"/>
  <c r="F219" i="1"/>
  <c r="G218" i="1"/>
  <c r="F218" i="1"/>
  <c r="G217" i="1"/>
  <c r="F217" i="1"/>
  <c r="G216" i="1"/>
  <c r="F216" i="1"/>
  <c r="G215" i="1"/>
  <c r="F215" i="1"/>
  <c r="G214" i="1"/>
  <c r="F214" i="1"/>
  <c r="G213" i="1"/>
  <c r="F213" i="1"/>
  <c r="G212" i="1"/>
  <c r="F212" i="1"/>
  <c r="G211" i="1"/>
  <c r="F211" i="1"/>
  <c r="G210" i="1"/>
  <c r="F210" i="1"/>
  <c r="G209" i="1"/>
  <c r="F209" i="1"/>
  <c r="G208" i="1"/>
  <c r="F208" i="1"/>
  <c r="G207" i="1"/>
  <c r="F207" i="1"/>
  <c r="G206" i="1"/>
  <c r="F206" i="1"/>
  <c r="G205" i="1"/>
  <c r="F205" i="1"/>
  <c r="G204" i="1"/>
  <c r="F204" i="1"/>
  <c r="G203" i="1"/>
  <c r="F203" i="1"/>
  <c r="G202" i="1"/>
  <c r="F202" i="1"/>
  <c r="G201" i="1"/>
  <c r="F201" i="1"/>
  <c r="G200" i="1"/>
  <c r="F200" i="1"/>
  <c r="G199" i="1"/>
  <c r="F199" i="1"/>
  <c r="G198" i="1"/>
  <c r="F198" i="1"/>
  <c r="G197" i="1"/>
  <c r="F197" i="1"/>
  <c r="G196" i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G187" i="1"/>
  <c r="F187" i="1"/>
  <c r="G186" i="1"/>
  <c r="F186" i="1"/>
  <c r="G185" i="1"/>
  <c r="F185" i="1"/>
  <c r="G184" i="1"/>
  <c r="F184" i="1"/>
  <c r="G183" i="1"/>
  <c r="F183" i="1"/>
  <c r="G182" i="1"/>
  <c r="F182" i="1"/>
  <c r="G181" i="1"/>
  <c r="F181" i="1"/>
  <c r="F180" i="1"/>
  <c r="G179" i="1"/>
  <c r="F179" i="1"/>
  <c r="G178" i="1"/>
  <c r="F178" i="1"/>
  <c r="G177" i="1"/>
  <c r="F177" i="1"/>
  <c r="G176" i="1"/>
  <c r="F176" i="1"/>
  <c r="G175" i="1"/>
  <c r="F175" i="1"/>
  <c r="G174" i="1"/>
  <c r="F174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F166" i="1"/>
  <c r="F165" i="1"/>
  <c r="G164" i="1"/>
  <c r="F164" i="1"/>
  <c r="G163" i="1"/>
  <c r="F163" i="1"/>
  <c r="G162" i="1"/>
  <c r="F162" i="1"/>
  <c r="G161" i="1"/>
  <c r="F161" i="1"/>
  <c r="G160" i="1"/>
  <c r="F160" i="1"/>
  <c r="G159" i="1"/>
  <c r="F159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G148" i="1"/>
  <c r="F148" i="1"/>
  <c r="G147" i="1"/>
  <c r="F147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G119" i="1"/>
  <c r="F119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G98" i="1"/>
  <c r="F98" i="1"/>
  <c r="G97" i="1"/>
  <c r="F97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G85" i="1"/>
  <c r="F85" i="1"/>
  <c r="G84" i="1"/>
  <c r="F84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G74" i="1"/>
  <c r="F74" i="1"/>
  <c r="G73" i="1"/>
  <c r="F73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G54" i="1"/>
  <c r="F54" i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G41" i="1"/>
  <c r="F41" i="1"/>
  <c r="G40" i="1"/>
  <c r="F40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 l="1"/>
  <c r="F4" i="1"/>
  <c r="G2" i="1" s="1"/>
</calcChain>
</file>

<file path=xl/sharedStrings.xml><?xml version="1.0" encoding="utf-8"?>
<sst xmlns="http://schemas.openxmlformats.org/spreadsheetml/2006/main" count="5929" uniqueCount="5902">
  <si>
    <t>УНИВЕРСАЛЬНОЕ</t>
  </si>
  <si>
    <t>YABEN GY6 (50-150cc)</t>
  </si>
  <si>
    <t>MINSK, SONIK, ZONGSHEN, LIFAN CB/CG (125-250cc)</t>
  </si>
  <si>
    <t>ВЕЛОМОТОР</t>
  </si>
  <si>
    <t>КИТАЕЦ TB-60 (2T)</t>
  </si>
  <si>
    <t>ОТЕЧЕСТВЕННЫЕ</t>
  </si>
  <si>
    <t>ЦЕПИ ШИНЫ НАПИЛЬНИКИ СВЕЧИ</t>
  </si>
  <si>
    <t>STIHL MS</t>
  </si>
  <si>
    <t>PARTNER</t>
  </si>
  <si>
    <t>GOODLUCK</t>
  </si>
  <si>
    <t>УРАЛ ДРУЖБА ДАНИЛА</t>
  </si>
  <si>
    <t>ЛЕСКА ШПУЛИ НОЖИ</t>
  </si>
  <si>
    <t>КИТАЙСКИЕ МОТОКОСЫ</t>
  </si>
  <si>
    <t>РЕМНИ ЭКИПИРОВКА</t>
  </si>
  <si>
    <t>МОТОШИНЫ КАМЕРЫ</t>
  </si>
  <si>
    <t>ШЛЕМА ПОДШЛЕМНИКИ КОФРЫ</t>
  </si>
  <si>
    <t>СПРАВОЧНАЯ ЛИТЕРАТУРА</t>
  </si>
  <si>
    <t>НАКЛЕЙКИ</t>
  </si>
  <si>
    <t>ОЧКИ ПЕРЧАТКИ КУРТКИ</t>
  </si>
  <si>
    <t>ТРИЦИКЛ "ЗУБР"</t>
  </si>
  <si>
    <t>Цена</t>
  </si>
  <si>
    <t>Заказ</t>
  </si>
  <si>
    <t>ИТОГО→</t>
  </si>
  <si>
    <t xml:space="preserve">Комментарии и пожелания </t>
  </si>
  <si>
    <t>Арт.</t>
  </si>
  <si>
    <t>МОТОБЛОКИ</t>
  </si>
  <si>
    <t>DELTA, ALPHA, ACTIVE (50-125сс)</t>
  </si>
  <si>
    <t>КВАДРОЦИКЛ</t>
  </si>
  <si>
    <t>ЯПОНСКИЕ</t>
  </si>
  <si>
    <t>УЦЕНКА</t>
  </si>
  <si>
    <t>МАСЛА и ХИМИЯ</t>
  </si>
  <si>
    <t>STIHL FS HUSQVARNA OLEO-MAC</t>
  </si>
  <si>
    <t>HUSQVARNA</t>
  </si>
  <si>
    <t>СОДЕРЖАНИЕ</t>
  </si>
  <si>
    <t>ЭЛЕКТРОТРАНСПОРТ</t>
  </si>
  <si>
    <t>Как выйти из режима защищенного просмотра, чтобы можно было редактировать, сохранять и печатать содержимое?</t>
  </si>
  <si>
    <r>
      <t xml:space="preserve">Помощь    </t>
    </r>
    <r>
      <rPr>
        <b/>
        <sz val="20"/>
        <color indexed="40"/>
        <rFont val="Calibri"/>
        <family val="2"/>
        <charset val="204"/>
      </rPr>
      <t>&gt;&gt;&gt;</t>
    </r>
  </si>
  <si>
    <r>
      <t xml:space="preserve"> Контакты          </t>
    </r>
    <r>
      <rPr>
        <b/>
        <i/>
        <sz val="20"/>
        <color indexed="40"/>
        <rFont val="Calibri"/>
        <family val="2"/>
        <charset val="204"/>
      </rPr>
      <t>&gt;&gt;&gt;</t>
    </r>
  </si>
  <si>
    <t>&gt;&gt;&gt;&gt;&gt;&gt;&gt;&gt;&gt;&gt;&gt;&gt;</t>
  </si>
  <si>
    <t>Контакты</t>
  </si>
  <si>
    <t>uatmmp@gmail.com</t>
  </si>
  <si>
    <t>tmmp-catalog.com.ua</t>
  </si>
  <si>
    <t>tmmp.com.ua</t>
  </si>
  <si>
    <t>pctmmp.site</t>
  </si>
  <si>
    <t>https://t.me/uatmmp_bot</t>
  </si>
  <si>
    <t>https://t.me/uatmmp</t>
  </si>
  <si>
    <t>Веб-сайт</t>
  </si>
  <si>
    <t>Почта e-mail:</t>
  </si>
  <si>
    <t>Наш Telegram-бот</t>
  </si>
  <si>
    <t>Наш Telegram-канал</t>
  </si>
  <si>
    <t>Нажмите на ссылку  "Скачать новый прайс-лист     &gt;&gt;&gt;"</t>
  </si>
  <si>
    <t>ПОМОЩЬ</t>
  </si>
  <si>
    <r>
      <t xml:space="preserve"> или нажмите "</t>
    </r>
    <r>
      <rPr>
        <b/>
        <sz val="16"/>
        <color indexed="63"/>
        <rFont val="Times New Roman"/>
        <family val="1"/>
        <charset val="204"/>
      </rPr>
      <t>Файл"</t>
    </r>
  </si>
  <si>
    <t xml:space="preserve"> потом "Все равно редактировать"</t>
  </si>
  <si>
    <t>Нажмите на сообщение "Обнаружена проблема с этим файлом. Редактирование может причинить вред компьютеру. Щелкните для получения дополнительных сведений"</t>
  </si>
  <si>
    <t>Как скачать новый прайс-лист? (нужен интернет-доступ на Вашем устройстве)</t>
  </si>
  <si>
    <t>Появится диалоговое окно с запросом на скачивания, нажмите "Ok"</t>
  </si>
  <si>
    <t>Следуйте инструкции у Вас на экране</t>
  </si>
  <si>
    <t>После этого Вам необходимо перейти в скачанный файл который открылся в новом окне и нажмите "Сохранить" , выберите папку куда сохранить прайс.</t>
  </si>
  <si>
    <r>
      <t xml:space="preserve">Скачать новый прайс-лист     </t>
    </r>
    <r>
      <rPr>
        <b/>
        <i/>
        <sz val="22"/>
        <color indexed="40"/>
        <rFont val="Calibri"/>
        <family val="2"/>
        <charset val="204"/>
      </rPr>
      <t>&gt;&gt;&gt;</t>
    </r>
  </si>
  <si>
    <t>A-136</t>
  </si>
  <si>
    <t>Аккумулятор 12v12a.h. AGM   Vcell</t>
  </si>
  <si>
    <t>2026.06</t>
  </si>
  <si>
    <t>A-137</t>
  </si>
  <si>
    <t>Аккумулятор 12v18a.h. (167*181*76mm) AGM   Vcell</t>
  </si>
  <si>
    <t>A-2</t>
  </si>
  <si>
    <t>Аккумулятор 12v4a.h. (113*70*87 mm)   TMMP</t>
  </si>
  <si>
    <t>A-84</t>
  </si>
  <si>
    <t>Аккумулятор 12v4a.h. SUZUKI AD   (таблетка, узкая)   TMMP</t>
  </si>
  <si>
    <t>A-25</t>
  </si>
  <si>
    <t>Аккумулятор 12v4a.h. YAMAHA JOG  (таблетка, широкая)   TMMP</t>
  </si>
  <si>
    <t>A-4</t>
  </si>
  <si>
    <t>Аккумулятор 12V4a.h. сухозаряженный с электролитом (120*70*92 mm)   TMMP</t>
  </si>
  <si>
    <t>A-6</t>
  </si>
  <si>
    <t>Аккумулятор 12V5a.h заливной (размер JAWA)   TMMP</t>
  </si>
  <si>
    <t>A-7</t>
  </si>
  <si>
    <t>Аккумулятор 12v5a.h. GEL (125*58*115mm/размер JAWA)   TMMP</t>
  </si>
  <si>
    <t>A-8</t>
  </si>
  <si>
    <t>Аккумулятор 12v7a.h. сухозаряженный с электролитом (95*85*147mm)   TMMP</t>
  </si>
  <si>
    <t>A-11</t>
  </si>
  <si>
    <t>Аккумулятор 12v9a.h. MF пастовый (105*85*150mm)   TMMP</t>
  </si>
  <si>
    <t>A-10</t>
  </si>
  <si>
    <t>Аккумулятор 12V9a.h. сухозаряженный "МОТО" (140*75*135mm)   TMMP</t>
  </si>
  <si>
    <t>V-5010</t>
  </si>
  <si>
    <t>Вставка в фару d=16cm 21W LED  (8 лампочек,дальний, ближний)</t>
  </si>
  <si>
    <t>V-5028</t>
  </si>
  <si>
    <t>Вставка в фару Delta квадратная (6 диодов + подсветка , 14*9 см, стекло)</t>
  </si>
  <si>
    <t>V-5009</t>
  </si>
  <si>
    <t>Вставка в фару DELTA/Minsk Sonik  18W LED (8 лампочек,дальний, ближний)</t>
  </si>
  <si>
    <t>V-5029</t>
  </si>
  <si>
    <t>Вставка в фару квадратная LED (6 диодов + подсветка , 15,5*10 см, стекло)</t>
  </si>
  <si>
    <t>Z-25</t>
  </si>
  <si>
    <t>Зарядное устройство до 20A.h. ( зарядный ток 1000mA )</t>
  </si>
  <si>
    <t>Z-1109</t>
  </si>
  <si>
    <t>Зеркала капля  (спелая вишня, без крепления)</t>
  </si>
  <si>
    <t>Z-173</t>
  </si>
  <si>
    <t>Зеркала капля серебро   TMMP</t>
  </si>
  <si>
    <t>Z-185</t>
  </si>
  <si>
    <t>Зеркала овал карбон M=10mm</t>
  </si>
  <si>
    <t>Z-1084</t>
  </si>
  <si>
    <t>Зеркала овал хром (M10)  №5</t>
  </si>
  <si>
    <t>Z-1123</t>
  </si>
  <si>
    <t>Зеркала овал хром M=8mm   JIREH</t>
  </si>
  <si>
    <t>Z-1115</t>
  </si>
  <si>
    <t>Зеркала СТЕЛС (красные)  M10</t>
  </si>
  <si>
    <t>Z-1117</t>
  </si>
  <si>
    <t>Зеркала СТЕЛС (красные)  M8</t>
  </si>
  <si>
    <t>Z-1116</t>
  </si>
  <si>
    <t>Зеркала СТЕЛС (серебро)  M10</t>
  </si>
  <si>
    <t>Z-1114</t>
  </si>
  <si>
    <t>Зеркала СТЕЛС (серебро)  M8</t>
  </si>
  <si>
    <t>Z-187</t>
  </si>
  <si>
    <t>Зеркала чёрные овал m=10mm</t>
  </si>
  <si>
    <t>Z-1072</t>
  </si>
  <si>
    <t>Золотник</t>
  </si>
  <si>
    <t>I-1061</t>
  </si>
  <si>
    <t>Инвертор Vcell VSLG-350  (350W/PMAX-500W/ Solar panel 400W/18V)</t>
  </si>
  <si>
    <t>K-5381</t>
  </si>
  <si>
    <t>Кран топливный (с отстойником , М-15)   YOG</t>
  </si>
  <si>
    <t>K-5063</t>
  </si>
  <si>
    <t>Крепление обтекателя TIGER</t>
  </si>
  <si>
    <t>L-586</t>
  </si>
  <si>
    <t>Лампа фары 12V35W35W 3 усика (свеча)</t>
  </si>
  <si>
    <t>F-1132</t>
  </si>
  <si>
    <t>Многофункциональный LED фонарь с солнечной панелью, плеер+FM (2 лампы LED 3W/кабель 3 в 1)</t>
  </si>
  <si>
    <t>N-5114</t>
  </si>
  <si>
    <t>Насвечник SILICONE BLACK</t>
  </si>
  <si>
    <t>N-5115</t>
  </si>
  <si>
    <t>Насвечник SILICONE BLUE</t>
  </si>
  <si>
    <t>N-48</t>
  </si>
  <si>
    <t>Ниппель колеса безкамерного (кривой с гайкой)</t>
  </si>
  <si>
    <t>N-49</t>
  </si>
  <si>
    <t>Ниппель колеса безкамерного (кривой)</t>
  </si>
  <si>
    <t>O-20</t>
  </si>
  <si>
    <t>Обтекатель TIGER (красный)</t>
  </si>
  <si>
    <t>O-21</t>
  </si>
  <si>
    <t>Обтекатель TIGER (серебро)</t>
  </si>
  <si>
    <t>P-9642</t>
  </si>
  <si>
    <t>Патрон в фару универсальный (лампочка 2 уса,3 провода без фишки)</t>
  </si>
  <si>
    <t>F-159</t>
  </si>
  <si>
    <t>Повороты  (яйцо)</t>
  </si>
  <si>
    <t>P-9579</t>
  </si>
  <si>
    <t>Повороты №4</t>
  </si>
  <si>
    <t>F-134</t>
  </si>
  <si>
    <t>Повороты двусторонние лодочка хром (прозрачное стекло)</t>
  </si>
  <si>
    <t>F-157</t>
  </si>
  <si>
    <t>Повороты задние R3  (белое стекло, 2шт)</t>
  </si>
  <si>
    <t>P-9720</t>
  </si>
  <si>
    <t>Повороты квадратные хром большие (4шт)</t>
  </si>
  <si>
    <t>P-9580</t>
  </si>
  <si>
    <t>Повороты лодочка хром</t>
  </si>
  <si>
    <t>P-9709</t>
  </si>
  <si>
    <t>Повороты лодочка хрусталь (хром)</t>
  </si>
  <si>
    <t>F-143</t>
  </si>
  <si>
    <t>Повороты мини карбон ( комплект 4 штуки )</t>
  </si>
  <si>
    <t>F-1082</t>
  </si>
  <si>
    <t>Повороты мини карбон лодочки  ( комплект 4 штуки )</t>
  </si>
  <si>
    <t>P-9680</t>
  </si>
  <si>
    <t>Повороты мини хрусталь MAX-100 короткая ножка ( комплект 4 штуки )</t>
  </si>
  <si>
    <t>P-9719</t>
  </si>
  <si>
    <t>Повороты пирамида  (жёлтое стекло хрусталь, 4шт)</t>
  </si>
  <si>
    <t>F-156</t>
  </si>
  <si>
    <t>Повороты хрусталь затемнённые ( комплект 4 штуки )</t>
  </si>
  <si>
    <t>P-9793</t>
  </si>
  <si>
    <t>Повороты чёрные, большие мото   NEW</t>
  </si>
  <si>
    <t>P-9794</t>
  </si>
  <si>
    <t>Помпа ручная (полный комплект)</t>
  </si>
  <si>
    <t>R-102</t>
  </si>
  <si>
    <t>Ремкомплект (латки) камеры и покрышки 37x24mm  (48шт)</t>
  </si>
  <si>
    <t>R-201</t>
  </si>
  <si>
    <t>Ручки руля алюминиевые красные</t>
  </si>
  <si>
    <t>R-202</t>
  </si>
  <si>
    <t>Ручки руля алюминиевые малиновые</t>
  </si>
  <si>
    <t>R-203</t>
  </si>
  <si>
    <t>Ручки руля алюминиевые серебро</t>
  </si>
  <si>
    <t>R-204</t>
  </si>
  <si>
    <t>Ручки руля алюминиевые синие</t>
  </si>
  <si>
    <t>R-205</t>
  </si>
  <si>
    <t>Ручки руля алюминиевые сиреневые</t>
  </si>
  <si>
    <t>S-5346</t>
  </si>
  <si>
    <t>Свеча 2Т   NNEP  (3 контакта)</t>
  </si>
  <si>
    <t>S-58</t>
  </si>
  <si>
    <t>Свеча А-14 уфа</t>
  </si>
  <si>
    <t>S-60</t>
  </si>
  <si>
    <t>Свеча А-23 уфа</t>
  </si>
  <si>
    <t>S-5330</t>
  </si>
  <si>
    <t>Сигнал 12V (18 тонов)   NEW</t>
  </si>
  <si>
    <t>S-111</t>
  </si>
  <si>
    <t>Сигналы двойные 12V обычные   TMMP</t>
  </si>
  <si>
    <t>F-29</t>
  </si>
  <si>
    <t>Фара круглая большая хром с козырьком</t>
  </si>
  <si>
    <t>F-21</t>
  </si>
  <si>
    <t>Фара круглаяя LED ( 6 светодиодов )  18W</t>
  </si>
  <si>
    <t>F-1067</t>
  </si>
  <si>
    <t>Фильтр бензиновый скутер (mod1)</t>
  </si>
  <si>
    <t>F-1063</t>
  </si>
  <si>
    <t>Фильтр нулевого сопротивления Ø28mm  (закрытый, карбон , металический, 45°)</t>
  </si>
  <si>
    <t>F-84</t>
  </si>
  <si>
    <t>Фильтр нулевого сопротивления Ø28mm  (открытый)</t>
  </si>
  <si>
    <t>N-5174</t>
  </si>
  <si>
    <t>Фильтр нулевого сопротивления Ø28mm  (турбина, карбон,пластик 45°)</t>
  </si>
  <si>
    <t>N-5182</t>
  </si>
  <si>
    <t>Фильтр нулевого сопротивления Ø38mm  (закрытый, хром , 45°)</t>
  </si>
  <si>
    <t>F-91</t>
  </si>
  <si>
    <t>Фильтр нулевого сопротивления Ø42mm  (открытый)</t>
  </si>
  <si>
    <t>F-1081</t>
  </si>
  <si>
    <t>Фильтр нулевого сопротивления Ø42mm  (турбина, золотой, 45°)</t>
  </si>
  <si>
    <t>F-80</t>
  </si>
  <si>
    <t>Фильтр нулевого сопротивления Ø42mm  (турбина, красный, 45°)</t>
  </si>
  <si>
    <t>F-1079</t>
  </si>
  <si>
    <t>Фильтр нулевого сопротивления Ø42mm  (турбина, синий, 45°)</t>
  </si>
  <si>
    <t>F-1080</t>
  </si>
  <si>
    <t>Фильтр нулевого сопротивления Ø42mm  (турбина, чёрный, 45°)</t>
  </si>
  <si>
    <t>F-99</t>
  </si>
  <si>
    <t>Фильтр топливный квадратный (без магнита)</t>
  </si>
  <si>
    <t>F-1130</t>
  </si>
  <si>
    <t>Фильтр топливный мото (без магнита)</t>
  </si>
  <si>
    <t>C-16</t>
  </si>
  <si>
    <t>Цепь привода колеса  420*100L   ТММР</t>
  </si>
  <si>
    <t>C-32</t>
  </si>
  <si>
    <t>Цепь привода колеса  420*112L   КИРОВ</t>
  </si>
  <si>
    <t>C-17</t>
  </si>
  <si>
    <t>Цепь привода колеса  420*128L   MAG</t>
  </si>
  <si>
    <t>C-1073</t>
  </si>
  <si>
    <t>Цепь привода колеса  420*96L   MAG</t>
  </si>
  <si>
    <t>C-1103</t>
  </si>
  <si>
    <t>Цепь привода колеса  420*96L   TMMP</t>
  </si>
  <si>
    <t>C-1037</t>
  </si>
  <si>
    <t>Цепь привода колеса  428*104L  O-Ring Golden   TMMP</t>
  </si>
  <si>
    <t>C-1029</t>
  </si>
  <si>
    <t>Цепь привода колеса  428*112L   TMMP</t>
  </si>
  <si>
    <t>C-26</t>
  </si>
  <si>
    <t>Цепь привода колеса  428*112L   КИРОВ</t>
  </si>
  <si>
    <t>C-1038</t>
  </si>
  <si>
    <t>Цепь привода колеса  428*112L  O-Ring Golden   TMMP</t>
  </si>
  <si>
    <t>C-4</t>
  </si>
  <si>
    <t>Цепь привода колеса  428*116L   TMMP</t>
  </si>
  <si>
    <t>C-1049</t>
  </si>
  <si>
    <t>Цепь привода колеса  428*116L  GOLD SERIES   TMMP</t>
  </si>
  <si>
    <t>C-1042</t>
  </si>
  <si>
    <t>Цепь привода колеса  428*116L  O-Ring Golden   TMMP</t>
  </si>
  <si>
    <t>C-5</t>
  </si>
  <si>
    <t>Цепь привода колеса  428*118L   MAG</t>
  </si>
  <si>
    <t>C-1050</t>
  </si>
  <si>
    <t>Цепь привода колеса  428*118L  GOLD SERIES   TMMP</t>
  </si>
  <si>
    <t>C-1041</t>
  </si>
  <si>
    <t>Цепь привода колеса  428*118L  O-Ring Golden   TMMP</t>
  </si>
  <si>
    <t>C-1101</t>
  </si>
  <si>
    <t>Цепь привода колеса  428*128L   TMMP</t>
  </si>
  <si>
    <t>C-1051</t>
  </si>
  <si>
    <t>Цепь привода колеса  428*128L  GOLD SERIES   TMMP</t>
  </si>
  <si>
    <t>C-24</t>
  </si>
  <si>
    <t>Цепь привода колеса  428*128L  JAWA   FAVORIT</t>
  </si>
  <si>
    <t>C-1039</t>
  </si>
  <si>
    <t>Цепь привода колеса  428*128L  O-Ring Golden   TMMP</t>
  </si>
  <si>
    <t>C-1040</t>
  </si>
  <si>
    <t>Цепь привода колеса  428*136L  O-Ring Golden   TMMP</t>
  </si>
  <si>
    <t>C-1005</t>
  </si>
  <si>
    <t>Цепь привода колеса  428*96L   MAG</t>
  </si>
  <si>
    <t>C-23</t>
  </si>
  <si>
    <t>Цепь привода колеса  428*98L   TMMP</t>
  </si>
  <si>
    <t>C-21</t>
  </si>
  <si>
    <t>Цепь привода колеса  428*98L   КИРОВ</t>
  </si>
  <si>
    <t>C-1053</t>
  </si>
  <si>
    <t>Цепь привода колеса  520*104L  GOLD SERIES   TMMP</t>
  </si>
  <si>
    <t>C-1043</t>
  </si>
  <si>
    <t>Цепь привода колеса  520*104L  O-Ring Golden   TMMP</t>
  </si>
  <si>
    <t>C-1007</t>
  </si>
  <si>
    <t>Цепь привода колеса  520*104L  ИЖ   MAG</t>
  </si>
  <si>
    <t>C-1028</t>
  </si>
  <si>
    <t>Цепь привода колеса  520*104L  ИЖ   TMMP</t>
  </si>
  <si>
    <t>C-1045</t>
  </si>
  <si>
    <t>Цепь привода колеса  520*120L  O-Ring Golden   TMMP</t>
  </si>
  <si>
    <t>C-1055</t>
  </si>
  <si>
    <t>Цепь привода колеса  530*114L  GOLD SERIES   TMMP</t>
  </si>
  <si>
    <t>C-1044</t>
  </si>
  <si>
    <t>Цепь привода колеса  530*114L  O-Ring Golden   TMMP</t>
  </si>
  <si>
    <t>G-30</t>
  </si>
  <si>
    <t>Герметик ABRO серый</t>
  </si>
  <si>
    <t>G-31</t>
  </si>
  <si>
    <t>Герметик прозрачный</t>
  </si>
  <si>
    <t>G-9352</t>
  </si>
  <si>
    <t>Герметик силиконовый  MANNOL  85г  прозрачный 9916 (-40C до +180C)</t>
  </si>
  <si>
    <t>G-33</t>
  </si>
  <si>
    <t>Герметик синий</t>
  </si>
  <si>
    <t>M-1005</t>
  </si>
  <si>
    <t>Масло 2T  TMMP</t>
  </si>
  <si>
    <t>S-5279</t>
  </si>
  <si>
    <t>Смазка для колодок тормозных  MANNOL  туба 0.05кг  9896 (с алюминиевым и медным наполнителем)</t>
  </si>
  <si>
    <t>S-5638</t>
  </si>
  <si>
    <t>Смазка молибденовая для редукторов и конических пар   TMMP  (туба, 80ml)</t>
  </si>
  <si>
    <t>A-41</t>
  </si>
  <si>
    <t>Амортизаторы задние Delta SUPER  (L=360mm)   TMMP</t>
  </si>
  <si>
    <t>A-112</t>
  </si>
  <si>
    <t>Амортизаторы задние Delta короткий стакан   HCH</t>
  </si>
  <si>
    <t>A-33</t>
  </si>
  <si>
    <t>Амортизаторы задние Delta короткий стакан  (хром)   TMMP</t>
  </si>
  <si>
    <t>A-58</t>
  </si>
  <si>
    <t>Амортизаторы задние Delta, Alfa SUPER  (L=330mm, розовые)</t>
  </si>
  <si>
    <t>A-61</t>
  </si>
  <si>
    <t>Амортизаторы задние Delta/Alfa /Active  (L=345mm, розовые)</t>
  </si>
  <si>
    <t>A-49</t>
  </si>
  <si>
    <t>Амортизаторы задние Delta/JAWA/SONIK/Минск с подкачкой (L=340mm,D1=12mm/D2=10mm, красные)</t>
  </si>
  <si>
    <t>A-47</t>
  </si>
  <si>
    <t>Амортизаторы задние Viper Active закрытые  (L-330mm)</t>
  </si>
  <si>
    <t>A-115</t>
  </si>
  <si>
    <t>Амортизаторы передние (перья вилки)  Active  под барабаный тормоз</t>
  </si>
  <si>
    <t>P-9626</t>
  </si>
  <si>
    <t>Амортизаторы передние (перья вилки)  Active  под дисковый тормоз</t>
  </si>
  <si>
    <t>A-71</t>
  </si>
  <si>
    <t>Амортизаторы передние (перья вилки)  Delta  (Ø25mm)  с наружной пружиной</t>
  </si>
  <si>
    <t>A-72</t>
  </si>
  <si>
    <t>Амортизаторы передние (перья вилки)  Delta  (Ø25mm) с внутренней пружиной</t>
  </si>
  <si>
    <t>A-73</t>
  </si>
  <si>
    <t>Амортизаторы передние (перья вилки)  Delta/Alpha  (Ø27mm) с внутренней пружиной</t>
  </si>
  <si>
    <t>B-2</t>
  </si>
  <si>
    <t>Багажник Active с подножками</t>
  </si>
  <si>
    <t>B-4</t>
  </si>
  <si>
    <t>Багажник Alpha с подножками</t>
  </si>
  <si>
    <t>B-5</t>
  </si>
  <si>
    <t>Багажник Delta</t>
  </si>
  <si>
    <t>B-27</t>
  </si>
  <si>
    <t>Бензобак Alpha  красный</t>
  </si>
  <si>
    <t>B-28</t>
  </si>
  <si>
    <t>Бензобак Alpha  синий</t>
  </si>
  <si>
    <t>B-29</t>
  </si>
  <si>
    <t>Бензобак Alpha  чёрный</t>
  </si>
  <si>
    <t>B-19</t>
  </si>
  <si>
    <t>Бензобак Delta  (красный)</t>
  </si>
  <si>
    <t>B-20</t>
  </si>
  <si>
    <t>Бензобак Delta  (синий)</t>
  </si>
  <si>
    <t>B-21</t>
  </si>
  <si>
    <t>Бензобак Delta  (чёрный)</t>
  </si>
  <si>
    <t>B-52</t>
  </si>
  <si>
    <t>Болт головки Delta ( крепит крышки боковые )</t>
  </si>
  <si>
    <t>B-53</t>
  </si>
  <si>
    <t>Болты крепления звезды к демпферу Delta</t>
  </si>
  <si>
    <t>V-10</t>
  </si>
  <si>
    <t>Вал п/п Delta 110  (L=190mm)</t>
  </si>
  <si>
    <t>V-11</t>
  </si>
  <si>
    <t>Вал п/п Delta 70  (L=162mm)</t>
  </si>
  <si>
    <t>V-13</t>
  </si>
  <si>
    <t>Вал п/п Viper Active L=260mm</t>
  </si>
  <si>
    <t>V-55</t>
  </si>
  <si>
    <t>Вилка передняя (в сборе)  Delta/Alpha  (Ø27mm) гидравлическая с внутренней пружиной</t>
  </si>
  <si>
    <t>V-50</t>
  </si>
  <si>
    <t>Вилочки п/п Delta</t>
  </si>
  <si>
    <t>V-60</t>
  </si>
  <si>
    <t>Вставка ручки газа Delta</t>
  </si>
  <si>
    <t>V-61</t>
  </si>
  <si>
    <t>Втулка заднего колеса с резьбой и гайкой</t>
  </si>
  <si>
    <t>V-76</t>
  </si>
  <si>
    <t>Втулки металлокерамика перьев Delta (4шт)</t>
  </si>
  <si>
    <t>G-9</t>
  </si>
  <si>
    <t>Гайка регулировки рулевых подшипников Delta</t>
  </si>
  <si>
    <t>G-8</t>
  </si>
  <si>
    <t>Гайки глухие головки Delta к-т 4 шт EVO</t>
  </si>
  <si>
    <t>G-16</t>
  </si>
  <si>
    <t>Генератор Delta (2 катушки)   TMMP</t>
  </si>
  <si>
    <t>G-15</t>
  </si>
  <si>
    <t>Генератор Delta 110 (8 катушек)   TMMP</t>
  </si>
  <si>
    <t>G-9313</t>
  </si>
  <si>
    <t>Генератор Delta old (старого образца)</t>
  </si>
  <si>
    <t>G-36</t>
  </si>
  <si>
    <t>Глазок уровня масла Delta</t>
  </si>
  <si>
    <t>G-38</t>
  </si>
  <si>
    <t>Глушитель Delta (толстый металл)</t>
  </si>
  <si>
    <t>G-56</t>
  </si>
  <si>
    <t>Глушитель Viper Active</t>
  </si>
  <si>
    <t>G-9320</t>
  </si>
  <si>
    <t>Головка цилиндра (в сборе)  Delta 110 TMMP</t>
  </si>
  <si>
    <t>G-9319</t>
  </si>
  <si>
    <t>Головка цилиндра (в сборе)  Delta 70   TMMP</t>
  </si>
  <si>
    <t>D-1</t>
  </si>
  <si>
    <t>Датчик включенной скорости Delta   TMMP</t>
  </si>
  <si>
    <t>D-1035</t>
  </si>
  <si>
    <t>Датчик уровня топлива Active</t>
  </si>
  <si>
    <t>D-6</t>
  </si>
  <si>
    <t>Датчик холла Delta</t>
  </si>
  <si>
    <t>D-1082</t>
  </si>
  <si>
    <t>Двигатель Delta 110 автомат</t>
  </si>
  <si>
    <t>D-1081</t>
  </si>
  <si>
    <t>Двигатель Delta 110 механика</t>
  </si>
  <si>
    <t>D-13</t>
  </si>
  <si>
    <t>Двигатель Delta 110(152FMH) автомат   TMMP</t>
  </si>
  <si>
    <t>D-1043</t>
  </si>
  <si>
    <t>Двигатель Delta 110(152FMH) автомат чёрный  TMMP</t>
  </si>
  <si>
    <t>D-14</t>
  </si>
  <si>
    <t>Двигатель Delta 110(152FMH) механика   TMMP</t>
  </si>
  <si>
    <t>D-1074</t>
  </si>
  <si>
    <t>Двигатель Delta 110(152FMH) механика  (ATV 1+1)   TMMP</t>
  </si>
  <si>
    <t>D-16</t>
  </si>
  <si>
    <t>Двигатель Delta 125(157FMH) автомат   TMMP</t>
  </si>
  <si>
    <t>D-15</t>
  </si>
  <si>
    <t>Двигатель Delta 125(157FMH) автомат ATV ( 3+1 реверс )   TMMP</t>
  </si>
  <si>
    <t>D-17</t>
  </si>
  <si>
    <t>Двигатель Delta 125(157FMH) автомат чёрный   TMMP</t>
  </si>
  <si>
    <t>D-24</t>
  </si>
  <si>
    <t>Двигатель Delta 125(157FMH) алюминиевый цилиндр автомат   TMMP</t>
  </si>
  <si>
    <t>D-18</t>
  </si>
  <si>
    <t>Двигатель Delta 125(157FMH) алюминиевый цилиндр автомат чёрный   TMMP</t>
  </si>
  <si>
    <t>D-22</t>
  </si>
  <si>
    <t>Двигатель Delta 125(157FMH) механика   TMMP</t>
  </si>
  <si>
    <t>D-21</t>
  </si>
  <si>
    <t>Двигатель Delta 125(157FMH) механика ATV ( 3+1 реверс )   TMMP</t>
  </si>
  <si>
    <t>D-23</t>
  </si>
  <si>
    <t>Двигатель Delta 125(157FMH) механика чёрный   TMMP</t>
  </si>
  <si>
    <t>D-25</t>
  </si>
  <si>
    <t>Двигатель Delta 70 механика   TMMP</t>
  </si>
  <si>
    <t>D-1083</t>
  </si>
  <si>
    <t>Демпфер заднего колеса (в сборе)  Delta  420-41T</t>
  </si>
  <si>
    <t>D-48</t>
  </si>
  <si>
    <t>Демпферная муфта (голая)  Delta</t>
  </si>
  <si>
    <t>D-54</t>
  </si>
  <si>
    <t>Демпферная резинка Delta  (чёрные)   TMMP</t>
  </si>
  <si>
    <t>D-55</t>
  </si>
  <si>
    <t>Демпферная резинка Delta для спицованного диска маленькие</t>
  </si>
  <si>
    <t>D-1020</t>
  </si>
  <si>
    <t>Демпферная резинка Delta силикон (красные ,спорт)   TMMP</t>
  </si>
  <si>
    <t>D-1019</t>
  </si>
  <si>
    <t>Демпферная резинка Delta силикон (синие, мягкие)   TMMP</t>
  </si>
  <si>
    <t>D-1034</t>
  </si>
  <si>
    <t>Диск колеса (задний) Active  (лучи) 1,6*17"</t>
  </si>
  <si>
    <t>D-68</t>
  </si>
  <si>
    <t>Диск колеса (задний) Active 1,6*17"</t>
  </si>
  <si>
    <t>D-76</t>
  </si>
  <si>
    <t>Диск колеса (задний) Delta  (чёрный, литой)</t>
  </si>
  <si>
    <t>D-78</t>
  </si>
  <si>
    <t>Диск колеса (задний) Delta 1,4*17" (литой)</t>
  </si>
  <si>
    <t>D-82</t>
  </si>
  <si>
    <t>Диск колеса (задний) Delta 1,4*17" (спицы)</t>
  </si>
  <si>
    <t>D-1033</t>
  </si>
  <si>
    <t>Диск колеса (передний) Active  (лучи, литой)</t>
  </si>
  <si>
    <t>D-80</t>
  </si>
  <si>
    <t>Диск колеса (передний) Delta  (чёрный, литой)</t>
  </si>
  <si>
    <t>D-81</t>
  </si>
  <si>
    <t>Диск колеса (передний) Delta 1,2*17" (литой)</t>
  </si>
  <si>
    <t>D-1017</t>
  </si>
  <si>
    <t>Диск колеса (передний) Delta 1,4*17" (спицы)</t>
  </si>
  <si>
    <t>D-89</t>
  </si>
  <si>
    <t>Диски сцепления (механика)  Delta   TMMP</t>
  </si>
  <si>
    <t>D-88</t>
  </si>
  <si>
    <t>Диски сцепления (полуавтомат)  Delta   TMMP</t>
  </si>
  <si>
    <t>D-93</t>
  </si>
  <si>
    <t>Дуги безопасности Alpha хром Ø28mm</t>
  </si>
  <si>
    <t>Z-12</t>
  </si>
  <si>
    <t>Замок зажигания (в сборе) Active</t>
  </si>
  <si>
    <t>Z-6</t>
  </si>
  <si>
    <t>Замок зажигания (в сборе) Alpha</t>
  </si>
  <si>
    <t>Z-8</t>
  </si>
  <si>
    <t>Замок зажигания (в сборе) Delta   TMMP</t>
  </si>
  <si>
    <t>Z-21</t>
  </si>
  <si>
    <t>Замок цепи 420    TMMP</t>
  </si>
  <si>
    <t>Z-22</t>
  </si>
  <si>
    <t>Замок цепи 428   TMMP</t>
  </si>
  <si>
    <t>K-142</t>
  </si>
  <si>
    <t>Защита (кожух) цепи Active</t>
  </si>
  <si>
    <t>K-141</t>
  </si>
  <si>
    <t>Защита (кожух) цепи Delta</t>
  </si>
  <si>
    <t>Z-35</t>
  </si>
  <si>
    <t>Звезда ведомая (задняя)  Delta  420*36   TMMP SUPER</t>
  </si>
  <si>
    <t>Z-36</t>
  </si>
  <si>
    <t>Звезда ведомая (задняя)  Delta  420*39   TMMP</t>
  </si>
  <si>
    <t>Z-37</t>
  </si>
  <si>
    <t>Звезда ведомая (задняя)  Delta  420*39   TMMP SUPER</t>
  </si>
  <si>
    <t>Z-38</t>
  </si>
  <si>
    <t>Звезда ведомая (задняя)  Delta  420*41   TMMP</t>
  </si>
  <si>
    <t>Z-39</t>
  </si>
  <si>
    <t>Звезда ведомая (задняя)  Delta  420*41   TMMP SUPER</t>
  </si>
  <si>
    <t>Z-41</t>
  </si>
  <si>
    <t>Звезда ведомая (задняя)  Delta  420*42   TMMP SUPER</t>
  </si>
  <si>
    <t>Z-45</t>
  </si>
  <si>
    <t>Звезда ведомая (задняя)  Delta  428*41   TMMP</t>
  </si>
  <si>
    <t>Z-46</t>
  </si>
  <si>
    <t>Звезда ведомая (задняя)  Delta  428*41   TMMP SUPER</t>
  </si>
  <si>
    <t>Z-1094</t>
  </si>
  <si>
    <t>Звезда ведомая (задняя)  Delta  428*42   TMMP</t>
  </si>
  <si>
    <t>Z-1102</t>
  </si>
  <si>
    <t>Звезда ведущая (передняя)  Delta  420*13  (кованая)   TMMP</t>
  </si>
  <si>
    <t>Z-1053</t>
  </si>
  <si>
    <t>Звезда ведущая (передняя)  Delta  420*14  (кованая)   EVO</t>
  </si>
  <si>
    <t>Z-1099</t>
  </si>
  <si>
    <t>Звезда ведущая (передняя)  Delta  420*14  (кованая)   TMMP</t>
  </si>
  <si>
    <t>Z-1015</t>
  </si>
  <si>
    <t>Звезда ведущая (передняя)  Delta  420*14  со стопорным кольцом (кованая)   TMMP</t>
  </si>
  <si>
    <t>Z-1013</t>
  </si>
  <si>
    <t>Звезда ведущая (передняя)  Delta  420*15  (кованая)   EVO</t>
  </si>
  <si>
    <t>Z-1101</t>
  </si>
  <si>
    <t>Звезда ведущая (передняя)  Delta  420*15  (кованая)   TMMP</t>
  </si>
  <si>
    <t>Z-1054</t>
  </si>
  <si>
    <t>Звезда ведущая (передняя)  Delta  420*16  (кованая)   EVO</t>
  </si>
  <si>
    <t>Z-1100</t>
  </si>
  <si>
    <t>Звезда ведущая (передняя)  Delta  420*16  (кованая)   TMMP</t>
  </si>
  <si>
    <t>Z-51</t>
  </si>
  <si>
    <t>Звезда ведущая (передняя)  Delta  420*17  (кованая)   TMMP</t>
  </si>
  <si>
    <t>Z-1014</t>
  </si>
  <si>
    <t>Звезда ведущая (передняя)  Delta  420*17 (кованая)   EVO</t>
  </si>
  <si>
    <t>Z-47</t>
  </si>
  <si>
    <t>Звезда ведущая (передняя)  Delta  428*13  (кованая)   TMMP</t>
  </si>
  <si>
    <t>Z-50</t>
  </si>
  <si>
    <t>Звезда ведущая (передняя)  Delta  428*16  (кованая)   TMMP</t>
  </si>
  <si>
    <t>Z-56</t>
  </si>
  <si>
    <t>Звезда ведущая (передняя)  Delta  428*17  (кованая)   TMMP</t>
  </si>
  <si>
    <t>Z-57</t>
  </si>
  <si>
    <t>Звезда ведущая (передняя)  Delta 420*13  (штампованная)</t>
  </si>
  <si>
    <t>Z-1034</t>
  </si>
  <si>
    <t>Звезда ведущая (передняя)  Delta 420*13  EVO</t>
  </si>
  <si>
    <t>Z-58</t>
  </si>
  <si>
    <t>Звезда ведущая (передняя)  Delta 420*13 TMMP SUPER</t>
  </si>
  <si>
    <t>Z-59</t>
  </si>
  <si>
    <t>Звезда ведущая (передняя)  Delta 420*14  ( с свободным ходом )</t>
  </si>
  <si>
    <t>Z-61</t>
  </si>
  <si>
    <t>Звезда ведущая (передняя)  Delta 420*14 TMMP SUPER</t>
  </si>
  <si>
    <t>Z-1079</t>
  </si>
  <si>
    <t>Звезда ведущая (передняя)  Delta 420*15  (с свободным ходом)</t>
  </si>
  <si>
    <t>Z-62</t>
  </si>
  <si>
    <t>Звезда ведущая (передняя)  Delta 420*15  (штампованная)</t>
  </si>
  <si>
    <t>Z-63</t>
  </si>
  <si>
    <t>Звезда ведущая (передняя)  Delta 420*15 TMMP SUPER</t>
  </si>
  <si>
    <t>Z-64</t>
  </si>
  <si>
    <t>Звезда ведущая (передняя)  Delta 420*16  (штампованная)</t>
  </si>
  <si>
    <t>Z-65</t>
  </si>
  <si>
    <t>Звезда ведущая (передняя)  Delta 420*16 TMMP SUPER</t>
  </si>
  <si>
    <t>Z-66</t>
  </si>
  <si>
    <t>Звезда ведущая (передняя)  Delta 420*17  (штампованная)</t>
  </si>
  <si>
    <t>Z-67</t>
  </si>
  <si>
    <t>Звезда ведущая (передняя)  Delta 420*17 TMMP SUPER</t>
  </si>
  <si>
    <t>Z-68</t>
  </si>
  <si>
    <t>Звезда ведущая (передняя)  Delta 428*13 TMMP SUPER</t>
  </si>
  <si>
    <t>Z-1086</t>
  </si>
  <si>
    <t>Звезда ведущая (передняя)  Delta 428*14  (штампованная)</t>
  </si>
  <si>
    <t>Z-1105</t>
  </si>
  <si>
    <t>Звезда ведущая (передняя)  Delta 428*15  ( с свободным ходом )</t>
  </si>
  <si>
    <t>Z-72</t>
  </si>
  <si>
    <t>Звезда ведущая (передняя)  Delta 428*15 TMMP SUPER</t>
  </si>
  <si>
    <t>Z-74</t>
  </si>
  <si>
    <t>Звезда ведущая (передняя)  Delta 428*16 TMMP SUPER</t>
  </si>
  <si>
    <t>Z-75</t>
  </si>
  <si>
    <t>Звезда ведущая (передняя)  Delta 428*17   TMMP  SUPER</t>
  </si>
  <si>
    <t>Z-103</t>
  </si>
  <si>
    <t>Звезда цепи распредвала Delta на коленвал</t>
  </si>
  <si>
    <t>Z-1059</t>
  </si>
  <si>
    <t>Звёздочки натяжителя цепи распредвала + цепь распредвала Delta 110   TMMP</t>
  </si>
  <si>
    <t>Z-124</t>
  </si>
  <si>
    <t>Звёздочки натяжителя цепи распредвала Delta с коромыслом   TMMP</t>
  </si>
  <si>
    <t>Z-1016</t>
  </si>
  <si>
    <t>Звёзды (ведущая+ведомая)  Delta 420*39*14   TMMP</t>
  </si>
  <si>
    <t>Z-1036</t>
  </si>
  <si>
    <t>Звёзды (ведущая+ведомая)  Delta 420*41*14</t>
  </si>
  <si>
    <t>Z-125</t>
  </si>
  <si>
    <t>Звёзды (ведущая+ведомая)  Delta 420*41*14   TMMP</t>
  </si>
  <si>
    <t>Z-126</t>
  </si>
  <si>
    <t>Звёзды (ведущая+ведомая)  Delta 428*38*15   TMMP</t>
  </si>
  <si>
    <t>Z-133</t>
  </si>
  <si>
    <t>Звёзды (ведущая+ведомая)  Delta 428*41*14   TMMP  SUPER</t>
  </si>
  <si>
    <t>Z-1011</t>
  </si>
  <si>
    <t>Звёзды (ведущая+ведомая)  Delta 428*41*14  TMMP</t>
  </si>
  <si>
    <t>Z-134</t>
  </si>
  <si>
    <t>Звёзды (ведущая+ведомая)  Delta 428*41*15   TMMP  SUPER</t>
  </si>
  <si>
    <t>Z-150</t>
  </si>
  <si>
    <t>Звёзды натяжителя цепи распредвала + цепь распредвала Delta 70   TMMP</t>
  </si>
  <si>
    <t>Z-101</t>
  </si>
  <si>
    <t>Звезды натяжителя цепи распредвала Delta  без коромысла   TMMP</t>
  </si>
  <si>
    <t>Z-1069</t>
  </si>
  <si>
    <t>Зеркала Delta/Alfa хром ( хромированная ножка ) M=8mm</t>
  </si>
  <si>
    <t>Z-154</t>
  </si>
  <si>
    <t>Зеркала Delta/Alfa хром ( хромированная ножка) M=10mm   TMMP</t>
  </si>
  <si>
    <t>Z-155</t>
  </si>
  <si>
    <t>Зеркала Delta/Alfa чёрные ( хромированная ножка) M=10mm   TMMP</t>
  </si>
  <si>
    <t>Z-156</t>
  </si>
  <si>
    <t>Зеркала Delta/Alfa чёрные ( хромированная ножка) M=8mm   TMMP</t>
  </si>
  <si>
    <t>Z-153</t>
  </si>
  <si>
    <t>Зеркала Delta/Alfa чёрные ( чёрная ножка )  M=8mm   TMMP</t>
  </si>
  <si>
    <t>Z-152</t>
  </si>
  <si>
    <t>Зеркала Delta/Alfa чёрные ( чёрная ножка ) M=10mm   TMMP</t>
  </si>
  <si>
    <t>I-1002</t>
  </si>
  <si>
    <t>Индикатор включенной скорости Delta   TMMP</t>
  </si>
  <si>
    <t>K-22</t>
  </si>
  <si>
    <t>Карбюратор Alpha</t>
  </si>
  <si>
    <t>K-5396</t>
  </si>
  <si>
    <t>Карбюратор ATV с ручной заслонкой   (17mm)</t>
  </si>
  <si>
    <t>K-23</t>
  </si>
  <si>
    <t>Карбюратор Delta 70/110 под тросик   TMMP</t>
  </si>
  <si>
    <t>K-5199</t>
  </si>
  <si>
    <t>Карбюратор Delta 70/110 с ручной заслонкой  TMMP</t>
  </si>
  <si>
    <t>K-21</t>
  </si>
  <si>
    <t>Карбюратор Viper Active</t>
  </si>
  <si>
    <t>K-5324</t>
  </si>
  <si>
    <t>Картер Delta (под подшипник)</t>
  </si>
  <si>
    <t>K-5323</t>
  </si>
  <si>
    <t>Картер Delta (под сепаратор)</t>
  </si>
  <si>
    <t>K-5086</t>
  </si>
  <si>
    <t>Картер Delta 110 (с подшипником)</t>
  </si>
  <si>
    <t>K-60</t>
  </si>
  <si>
    <t>Картер Delta 70</t>
  </si>
  <si>
    <t>K-68</t>
  </si>
  <si>
    <t>Катушка генератора Delta маленькая   TMMP</t>
  </si>
  <si>
    <t>K-101</t>
  </si>
  <si>
    <t>Катушка зажигания Alpha с проводом и насвечником</t>
  </si>
  <si>
    <t>K-5138</t>
  </si>
  <si>
    <t>Катушка зажигания Delta без насвечника  (оранжевая)</t>
  </si>
  <si>
    <t>K-112</t>
  </si>
  <si>
    <t>Клапана Delta 110   TMMP</t>
  </si>
  <si>
    <t>K-118</t>
  </si>
  <si>
    <t>Клюв Viper Active</t>
  </si>
  <si>
    <t>K-126</t>
  </si>
  <si>
    <t>Кнопка включения света Active</t>
  </si>
  <si>
    <t>K-127</t>
  </si>
  <si>
    <t>Кнопка переключения света Active (4 контакта)</t>
  </si>
  <si>
    <t>K-128</t>
  </si>
  <si>
    <t>Кнопка поворотов Active</t>
  </si>
  <si>
    <t>K-130</t>
  </si>
  <si>
    <t>Кнопка сигнала Active</t>
  </si>
  <si>
    <t>K-131</t>
  </si>
  <si>
    <t>Кнопка стартера Active</t>
  </si>
  <si>
    <t>K-151</t>
  </si>
  <si>
    <t>Коленвал Delta 110 ТММР</t>
  </si>
  <si>
    <t>K-5384</t>
  </si>
  <si>
    <t>Коленвал Delta 70   EVO</t>
  </si>
  <si>
    <t>K-153</t>
  </si>
  <si>
    <t>Коленвал Delta 70   HCH</t>
  </si>
  <si>
    <t>K-5421</t>
  </si>
  <si>
    <t>Коленвал Delta 70   TMMP</t>
  </si>
  <si>
    <t>K-198</t>
  </si>
  <si>
    <t>Колодки тормозные Delta  (косая пружина)   TMMP</t>
  </si>
  <si>
    <t>K-5408</t>
  </si>
  <si>
    <t>Колодки тормозные Delta  (прямая пружина)</t>
  </si>
  <si>
    <t>K-5216</t>
  </si>
  <si>
    <t>Колодки тормозные Delta  (прямая пружина)   TMMP</t>
  </si>
  <si>
    <t>K-5168</t>
  </si>
  <si>
    <t>Колодки тормозные передние Active   TMMP</t>
  </si>
  <si>
    <t>K-223</t>
  </si>
  <si>
    <t>Кольца  Delta 100  0.25  (Ø50.25mm)   SEE</t>
  </si>
  <si>
    <t>K-224</t>
  </si>
  <si>
    <t>Кольца  Delta 100  0.50  (Ø50.50mm)   SEE</t>
  </si>
  <si>
    <t>K-5383</t>
  </si>
  <si>
    <t>Кольца  Delta 100  0.50  (Ø50.50mm)   TMMP</t>
  </si>
  <si>
    <t>K-225</t>
  </si>
  <si>
    <t>Кольца  Delta 100  0.75  (Ø50.75mm)   SEE</t>
  </si>
  <si>
    <t>K-226</t>
  </si>
  <si>
    <t>Кольца  Delta 100  1.00  (Ø51.00mm)   SEE</t>
  </si>
  <si>
    <t>K-228</t>
  </si>
  <si>
    <t>Кольца  Delta 100  std  (Ø50.00mm)     TMMP</t>
  </si>
  <si>
    <t>K-229</t>
  </si>
  <si>
    <t>Кольца  Delta 110  0.25  (Ø52.65mm)   SEE</t>
  </si>
  <si>
    <t>K-230</t>
  </si>
  <si>
    <t>Кольца  Delta 110  0.50  (Ø52.90mm)   SEE</t>
  </si>
  <si>
    <t>K-231</t>
  </si>
  <si>
    <t>Кольца  Delta 110  0.75  (Ø53.15mm)   SEE</t>
  </si>
  <si>
    <t>K-234</t>
  </si>
  <si>
    <t>Кольца  Delta 110  std  (Ø52.40mm)   TMMP</t>
  </si>
  <si>
    <t>K-236</t>
  </si>
  <si>
    <t>Кольца  Delta 70  0.25  (Ø47.25mm)   SEE</t>
  </si>
  <si>
    <t>K-237</t>
  </si>
  <si>
    <t>Кольца  Delta 70  0.50  (Ø47.50mm)   SEE</t>
  </si>
  <si>
    <t>K-5328</t>
  </si>
  <si>
    <t>Кольца  Delta 70  0.50  (Ø47.50mm)   TMMP</t>
  </si>
  <si>
    <t>K-238</t>
  </si>
  <si>
    <t>Кольца  Delta 70  0.75  (Ø47.75mm)   SEE</t>
  </si>
  <si>
    <t>K-239</t>
  </si>
  <si>
    <t>Кольца  Delta 70  1.00  (Ø48.00mm)   SEE</t>
  </si>
  <si>
    <t>K-241</t>
  </si>
  <si>
    <t>Кольца  Delta 70  std  (Ø47.00mm)   TMMP</t>
  </si>
  <si>
    <t>K-307</t>
  </si>
  <si>
    <t>Кольца  Delta 70  std  (Ø47.00mm)  (заводские)   EVO</t>
  </si>
  <si>
    <t>K-242</t>
  </si>
  <si>
    <t>Кольца  Delta 90  0.25  (Ø47.25mm)   SEE</t>
  </si>
  <si>
    <t>K-243</t>
  </si>
  <si>
    <t>Кольца  Delta 90  0.50  (Ø47.50mm)   SEE</t>
  </si>
  <si>
    <t>K-244</t>
  </si>
  <si>
    <t>Кольца  Delta 90  0.75  (Ø47.75mm)   SEE</t>
  </si>
  <si>
    <t>K-245</t>
  </si>
  <si>
    <t>Кольца  Delta 90  1.00  (Ø48.00mm)   SEE</t>
  </si>
  <si>
    <t>K-5336</t>
  </si>
  <si>
    <t>Кольца  Delta 90  std  (Ø47.00mm)   PR</t>
  </si>
  <si>
    <t>K-380</t>
  </si>
  <si>
    <t>Коммутатор Active   TMMP</t>
  </si>
  <si>
    <t>K-5089</t>
  </si>
  <si>
    <t>Коммутатор Delta 50/125 , HONDA DIO AF27/AF28 золотой RAICE без проводов</t>
  </si>
  <si>
    <t>K-372</t>
  </si>
  <si>
    <t>Коммутатор Delta оранжевый с регулировкой опережения</t>
  </si>
  <si>
    <t>K-5378</t>
  </si>
  <si>
    <t>Коммутатор Delta оранжевый с регулировкой опережения (большой)</t>
  </si>
  <si>
    <t>K-373</t>
  </si>
  <si>
    <t>Коммутатор Delta старый 6 проводов</t>
  </si>
  <si>
    <t>K-392</t>
  </si>
  <si>
    <t>Концевой выключатель заднего тормоза Delta</t>
  </si>
  <si>
    <t>K-391</t>
  </si>
  <si>
    <t>Концевой выключатель заднего тормоза Viper Active</t>
  </si>
  <si>
    <t>K-5074</t>
  </si>
  <si>
    <t>Концевой выключатель заднего тормоза Viper Active с пружиной</t>
  </si>
  <si>
    <t>K-5077</t>
  </si>
  <si>
    <t>Концевой выключатель переднего тормоза Delta</t>
  </si>
  <si>
    <t>K-402</t>
  </si>
  <si>
    <t>Коробка передач (в сборе)  Active (полуавтомат)</t>
  </si>
  <si>
    <t>K-403</t>
  </si>
  <si>
    <t>Коробка передач (в сборе)  Delta  (под игольчатый подшипник)</t>
  </si>
  <si>
    <t>K-404</t>
  </si>
  <si>
    <t>Коробка передач (в сборе)  Delta  (под шариковый подшипник)</t>
  </si>
  <si>
    <t>K-409</t>
  </si>
  <si>
    <t>Коромысло натяжителя цепи распредвала Delta   TMMP</t>
  </si>
  <si>
    <t>K-414</t>
  </si>
  <si>
    <t>Корпус замка зажигания и индикатора вкл. скрости Delta</t>
  </si>
  <si>
    <t>K-454</t>
  </si>
  <si>
    <t>Кран топливный  Alpha   TMMP</t>
  </si>
  <si>
    <t>K-5099</t>
  </si>
  <si>
    <t>Кран топливный  Delta   TMMP</t>
  </si>
  <si>
    <t>K-5422</t>
  </si>
  <si>
    <t>Кран топливный  Delta (без отстойника)</t>
  </si>
  <si>
    <t>K-5085</t>
  </si>
  <si>
    <t>Крепление приборов Delta  (для хром приборов)</t>
  </si>
  <si>
    <t>K-465</t>
  </si>
  <si>
    <t>Крепление руля Delta</t>
  </si>
  <si>
    <t>K-468</t>
  </si>
  <si>
    <t>Крепление фары Delta</t>
  </si>
  <si>
    <t>K-471</t>
  </si>
  <si>
    <t>Крыло заднее  Viper Active</t>
  </si>
  <si>
    <t>K-473</t>
  </si>
  <si>
    <t>Крыло заднее Delta хром толстый металл</t>
  </si>
  <si>
    <t>K-474</t>
  </si>
  <si>
    <t>Крыло заднее Delta чёрное</t>
  </si>
  <si>
    <t>K-484</t>
  </si>
  <si>
    <t>Крыло переднее  Delta (чёрное)</t>
  </si>
  <si>
    <t>K-483</t>
  </si>
  <si>
    <t>Крыло переднее  Delta хром толстый металл</t>
  </si>
  <si>
    <t>K-5169</t>
  </si>
  <si>
    <t>Крыло переднее  Viper Active (красное)</t>
  </si>
  <si>
    <t>K-5067</t>
  </si>
  <si>
    <t>Крышечка левой крышки Delta (овал, металл)</t>
  </si>
  <si>
    <t>K-5068</t>
  </si>
  <si>
    <t>Крышечка правой крышки  Delta (металл)</t>
  </si>
  <si>
    <t>K-490</t>
  </si>
  <si>
    <t>Крышечка правой крышки  Delta (пластик)</t>
  </si>
  <si>
    <t>P-485</t>
  </si>
  <si>
    <t>Крышка бака Alpha хром (с замком)</t>
  </si>
  <si>
    <t>P-490</t>
  </si>
  <si>
    <t>Крышка бака Viper Active</t>
  </si>
  <si>
    <t>K-506</t>
  </si>
  <si>
    <t>Крышка головки Delta 70 круглая с резьбой</t>
  </si>
  <si>
    <t>K-509</t>
  </si>
  <si>
    <t>Крышка головки клапанов верхняя Delta</t>
  </si>
  <si>
    <t>K-5427</t>
  </si>
  <si>
    <t>Крышка головки клапанов левая Delta 70</t>
  </si>
  <si>
    <t>K-5379</t>
  </si>
  <si>
    <t>Крышка головки клапанов правая Delta 110</t>
  </si>
  <si>
    <t>K-511</t>
  </si>
  <si>
    <t>Крышка головки клапанов правая Delta 70</t>
  </si>
  <si>
    <t>K-514</t>
  </si>
  <si>
    <t>Крышка двигателя Delta 110 правая</t>
  </si>
  <si>
    <t>K-5430</t>
  </si>
  <si>
    <t>Крышка двигателя Delta левая (генератор 2 катушки)</t>
  </si>
  <si>
    <t>K-516</t>
  </si>
  <si>
    <t>Крышка двигателя Delta правая автомат</t>
  </si>
  <si>
    <t>K-519</t>
  </si>
  <si>
    <t>Крышка звезды Delta 110</t>
  </si>
  <si>
    <t>K-520</t>
  </si>
  <si>
    <t>Крышка звезды Delta 70</t>
  </si>
  <si>
    <t>K-524</t>
  </si>
  <si>
    <t>Крышка круглая под генератор Delta</t>
  </si>
  <si>
    <t>K-5393</t>
  </si>
  <si>
    <t>Крышка крышки аккумулятора Active</t>
  </si>
  <si>
    <t>K-525</t>
  </si>
  <si>
    <t>Крышка крышки двигателя Delta 70 (овал, пластик, левая)</t>
  </si>
  <si>
    <t>K-533</t>
  </si>
  <si>
    <t>Крышка правая Active</t>
  </si>
  <si>
    <t>K-532</t>
  </si>
  <si>
    <t>Крышка правая Delta 70</t>
  </si>
  <si>
    <t>K-5139</t>
  </si>
  <si>
    <t>Крышка правая Delta 70 (автомат)</t>
  </si>
  <si>
    <t>K-535</t>
  </si>
  <si>
    <t>Крышка правой крышки двигателя Delta 70 (пластик)</t>
  </si>
  <si>
    <t>K-5061</t>
  </si>
  <si>
    <t>Крышка регулировки клапанов Delta</t>
  </si>
  <si>
    <t>L-537</t>
  </si>
  <si>
    <t>Лампа поворотов Delta (белая)</t>
  </si>
  <si>
    <t>L-535</t>
  </si>
  <si>
    <t>Лампа поворотов Delta (желтое стекло)</t>
  </si>
  <si>
    <t>L-577</t>
  </si>
  <si>
    <t>Лампа стопа 12V21W5W</t>
  </si>
  <si>
    <t>M-3</t>
  </si>
  <si>
    <t>Магнето Delta для 2 катушки</t>
  </si>
  <si>
    <t>M-4</t>
  </si>
  <si>
    <t>Магнето Delta для 6 катушек</t>
  </si>
  <si>
    <t>M-1009</t>
  </si>
  <si>
    <t>Манжеты двигателя Delta (набор)</t>
  </si>
  <si>
    <t>M-22</t>
  </si>
  <si>
    <t>Маслонасос Delta   TMMP</t>
  </si>
  <si>
    <t>M-1006</t>
  </si>
  <si>
    <t>Маятник Alpha</t>
  </si>
  <si>
    <t>M-44</t>
  </si>
  <si>
    <t>Маятник Delta</t>
  </si>
  <si>
    <t>N-5094</t>
  </si>
  <si>
    <t>Направляющие клапанов Delta   TMMP</t>
  </si>
  <si>
    <t>N-29</t>
  </si>
  <si>
    <t>Насвечник прозрачный с резистором</t>
  </si>
  <si>
    <t>N-1004</t>
  </si>
  <si>
    <t>Натяжитель цепи распредвала Delta  (с резинкой)   TMMP</t>
  </si>
  <si>
    <t>N-40</t>
  </si>
  <si>
    <t>Натяжитель цепи распредвала Delta  (с резинкой+коромысло)   TMMP</t>
  </si>
  <si>
    <t>N-72</t>
  </si>
  <si>
    <t>Ножка кикстартера Active</t>
  </si>
  <si>
    <t>N-63</t>
  </si>
  <si>
    <t>Ножка кикстартера Delta ( оцинковка )</t>
  </si>
  <si>
    <t>N-5120</t>
  </si>
  <si>
    <t>Ножка кикстартера Delta ( хром )</t>
  </si>
  <si>
    <t>N-64</t>
  </si>
  <si>
    <t>Ножка кикстартера Delta ( чёрная )</t>
  </si>
  <si>
    <t>N-77</t>
  </si>
  <si>
    <t>Ножка откидная Delta</t>
  </si>
  <si>
    <t>N-78</t>
  </si>
  <si>
    <t>Ножка п/п Delta</t>
  </si>
  <si>
    <t>O-1</t>
  </si>
  <si>
    <t>Обгонная муфта стартера Delta 110 в сборе</t>
  </si>
  <si>
    <t>O-5</t>
  </si>
  <si>
    <t>Обтекатель Delta (2.7mm)</t>
  </si>
  <si>
    <t>O-29</t>
  </si>
  <si>
    <t>Ось маятника Delta, Active  (L-240mm D-10mm) TMMP</t>
  </si>
  <si>
    <t>O-33</t>
  </si>
  <si>
    <t>Ось переднего колеса Delta   TMMP</t>
  </si>
  <si>
    <t>P-9639</t>
  </si>
  <si>
    <t>Панель приборов  Active</t>
  </si>
  <si>
    <t>P-14</t>
  </si>
  <si>
    <t>Панель приборов Delta 110/Alfa  (хром)</t>
  </si>
  <si>
    <t>P-9041</t>
  </si>
  <si>
    <t>Панель приборов Delta 70  (120км/ч) с индикатором включенной скорости</t>
  </si>
  <si>
    <t>P-16</t>
  </si>
  <si>
    <t>Панель приборов Delta 70  (60км) с индикатором включенной скорости</t>
  </si>
  <si>
    <t>P-9712</t>
  </si>
  <si>
    <t>Патрубок карбюратора Active (алюминиевый, с ушком)  тип 2</t>
  </si>
  <si>
    <t>P-42</t>
  </si>
  <si>
    <t>Патрубок карбюратора Active (алюминиевый)</t>
  </si>
  <si>
    <t>P-36</t>
  </si>
  <si>
    <t>Патрубок карбюратора Alpha</t>
  </si>
  <si>
    <t>P-37</t>
  </si>
  <si>
    <t>Патрубок карбюратора Delta 70 металл</t>
  </si>
  <si>
    <t>P-38</t>
  </si>
  <si>
    <t>Патрубок карбюратора Delta алюминий   TMMP</t>
  </si>
  <si>
    <t>P-50</t>
  </si>
  <si>
    <t>Педаль тормоза Active</t>
  </si>
  <si>
    <t>P-47</t>
  </si>
  <si>
    <t>Педаль тормоза Delta/Alpha</t>
  </si>
  <si>
    <t>P-58</t>
  </si>
  <si>
    <t>Переключатель руля Delta  (левый+правый+ ручки выжимные) хром</t>
  </si>
  <si>
    <t>P-9013</t>
  </si>
  <si>
    <t>Переключатель руля Delta  (левый+правый+ ручки резиновые и выжимные) хром</t>
  </si>
  <si>
    <t>P-68</t>
  </si>
  <si>
    <t>Перемычка стопорящая распредвала Delta</t>
  </si>
  <si>
    <t>G-98</t>
  </si>
  <si>
    <t>Переходник свечи гужон 4T</t>
  </si>
  <si>
    <t>P-91</t>
  </si>
  <si>
    <t>Пластик боковой задний комплект Viper Active</t>
  </si>
  <si>
    <t>F-126</t>
  </si>
  <si>
    <t>Повороты  Delta  (круглые, хром, пластик)</t>
  </si>
  <si>
    <t>F-129</t>
  </si>
  <si>
    <t>Повороты Alpha (квадратные)</t>
  </si>
  <si>
    <t>P-122</t>
  </si>
  <si>
    <t>Подножка центральная  Delta/Alpha</t>
  </si>
  <si>
    <t>P-133</t>
  </si>
  <si>
    <t>Подшипник 6203 2RS</t>
  </si>
  <si>
    <t>P-9617</t>
  </si>
  <si>
    <t>Подшипник 6204 CX</t>
  </si>
  <si>
    <t>P-135</t>
  </si>
  <si>
    <t>Подшипник 6301 2RS</t>
  </si>
  <si>
    <t>P-136</t>
  </si>
  <si>
    <t>Подшипник 6304 коленвала Delta</t>
  </si>
  <si>
    <t>P-152</t>
  </si>
  <si>
    <t>Подшипник роликовый  Delta  (КПП)</t>
  </si>
  <si>
    <t>P-9051</t>
  </si>
  <si>
    <t>Подшипник руля Viper-Active  TMMP</t>
  </si>
  <si>
    <t>P-192</t>
  </si>
  <si>
    <t>Поршень (в сборе) Delta 100  0.25 (Ø50.25mm)   SEE</t>
  </si>
  <si>
    <t>P-193</t>
  </si>
  <si>
    <t>Поршень (в сборе) Delta 100  0.50 (Ø50.50mm)   SEE</t>
  </si>
  <si>
    <t>P-194</t>
  </si>
  <si>
    <t>Поршень (в сборе) Delta 100  0.75 (Ø50.75mm)   SEE</t>
  </si>
  <si>
    <t>P-195</t>
  </si>
  <si>
    <t>Поршень (в сборе) Delta 100  1.00 (Ø51.00mm)   SEE</t>
  </si>
  <si>
    <t>P-196</t>
  </si>
  <si>
    <t>Поршень (в сборе) Delta 100  std (Ø50.00mm)   TММР ТEFLON</t>
  </si>
  <si>
    <t>P-9647</t>
  </si>
  <si>
    <t>Поршень (в сборе) Delta 110  0,50 (Ø52.90mm)   SEE</t>
  </si>
  <si>
    <t>P-9571</t>
  </si>
  <si>
    <t>Поршень (в сборе) Delta 110  0,50 (Ø52.90mm)   TMMP</t>
  </si>
  <si>
    <t>P-9726</t>
  </si>
  <si>
    <t>Поршень (в сборе) Delta 110  0.25 (Ø52.65mm)   PR</t>
  </si>
  <si>
    <t>P-199</t>
  </si>
  <si>
    <t>Поршень (в сборе) Delta 110  0.25 (Ø52.65mm)   TММР ТEFLON</t>
  </si>
  <si>
    <t>P-201</t>
  </si>
  <si>
    <t>Поршень (в сборе) Delta 110  1.00 (Ø53.40mm)   SEE</t>
  </si>
  <si>
    <t>P-212</t>
  </si>
  <si>
    <t>Поршень (в сборе) Delta 70  0,25 (Ø47.25mm)   TММР ТEFLON</t>
  </si>
  <si>
    <t>P-9654</t>
  </si>
  <si>
    <t>Поршень (в сборе) Delta 70  0.25 (Ø47.25mm)   YOG (без колец)</t>
  </si>
  <si>
    <t>P-207</t>
  </si>
  <si>
    <t>Поршень (в сборе) Delta 70  0.50 (Ø47.50mm)   SEE</t>
  </si>
  <si>
    <t>P-9655</t>
  </si>
  <si>
    <t>Поршень (в сборе) Delta 70  0.50 (Ø47.50mm)   YOG (без колец)</t>
  </si>
  <si>
    <t>P-208</t>
  </si>
  <si>
    <t>Поршень (в сборе) Delta 70  0.75 (Ø47.75mm)   SEE</t>
  </si>
  <si>
    <t>P-9656</t>
  </si>
  <si>
    <t>Поршень (в сборе) Delta 70  0.75 (Ø47.75mm)   YOG (без колец)</t>
  </si>
  <si>
    <t>P-209</t>
  </si>
  <si>
    <t>Поршень (в сборе) Delta 70  1.00 (Ø48.00mm)   SEE</t>
  </si>
  <si>
    <t>P-9646</t>
  </si>
  <si>
    <t>Поршень (в сборе) Delta 70  std (Ø47.00mm)   EVO</t>
  </si>
  <si>
    <t>P-210</t>
  </si>
  <si>
    <t>Поршень (в сборе) Delta 70  std (Ø47.00mm)   TММР ТEFLON</t>
  </si>
  <si>
    <t>P-9786</t>
  </si>
  <si>
    <t>Поршень (в сборе) Delta 70  std (Ø47.00mm)   WHV ТEFLON</t>
  </si>
  <si>
    <t>P-214</t>
  </si>
  <si>
    <t>Поршень (в сборе) Delta 90  0.25 (Ø47.25mm)   SEE</t>
  </si>
  <si>
    <t>P-215</t>
  </si>
  <si>
    <t>Поршень (в сборе) Delta 90  0.50 (Ø47.50mm)   SEE</t>
  </si>
  <si>
    <t>P-216</t>
  </si>
  <si>
    <t>Поршень (в сборе) Delta 90  0.75 (Ø47.75mm)   SEE</t>
  </si>
  <si>
    <t>P-217</t>
  </si>
  <si>
    <t>Поршень (в сборе) Delta 90  1.00 (Ø48.00mm)   SEE</t>
  </si>
  <si>
    <t>P-213</t>
  </si>
  <si>
    <t>Поршень (в сборе) Delta 90  std (Ø47.00mm)   SEE</t>
  </si>
  <si>
    <t>P-461</t>
  </si>
  <si>
    <t>Предохранитель Delta</t>
  </si>
  <si>
    <t>P-462</t>
  </si>
  <si>
    <t>Предохранитель Delta в в корпусе</t>
  </si>
  <si>
    <t>P-463</t>
  </si>
  <si>
    <t>Предохранитель Delta под автомобильный предохранитель</t>
  </si>
  <si>
    <t>P-481</t>
  </si>
  <si>
    <t>Привод спидометра Delta   TMMP</t>
  </si>
  <si>
    <t>P-503</t>
  </si>
  <si>
    <t>Пробка маслослива  Delta</t>
  </si>
  <si>
    <t>P-510</t>
  </si>
  <si>
    <t>Проводка Delta 70 без тахометра 2 фишки у руля</t>
  </si>
  <si>
    <t>P-511</t>
  </si>
  <si>
    <t>Проводка Delta с тахометром ( 2 фишки у руля )</t>
  </si>
  <si>
    <t>P-520</t>
  </si>
  <si>
    <t>Прокладка глушителя Delta</t>
  </si>
  <si>
    <t>T-12</t>
  </si>
  <si>
    <t>Прокладка карбюратора Delta текстолит</t>
  </si>
  <si>
    <t>P-532</t>
  </si>
  <si>
    <t>Прокладки двигателя (комплект)  Delta  110   TMMP</t>
  </si>
  <si>
    <t>P-534</t>
  </si>
  <si>
    <t>Прокладки двигателя (комплект)  Delta 70   TMMP</t>
  </si>
  <si>
    <t>P-553</t>
  </si>
  <si>
    <t>Прокладки цилиндра (комплект)  Delta 100   TMMP</t>
  </si>
  <si>
    <t>P-554</t>
  </si>
  <si>
    <t>Прокладки цилиндра (комплект)  Delta 110   TMMP</t>
  </si>
  <si>
    <t>P-9008</t>
  </si>
  <si>
    <t>Прокладки цилиндра (комплект)  Delta 50   JETAR</t>
  </si>
  <si>
    <t>P-556</t>
  </si>
  <si>
    <t>Прокладки цилиндра (комплект)  Delta 50   TMMP</t>
  </si>
  <si>
    <t>P-9683</t>
  </si>
  <si>
    <t>Прокладки цилиндра (комплект)  Delta 70   GASKET</t>
  </si>
  <si>
    <t>P-557</t>
  </si>
  <si>
    <t>Прокладки цилиндра (комплект)  Delta 70   TMMP</t>
  </si>
  <si>
    <t>P-558</t>
  </si>
  <si>
    <t>Прокладки цилиндра (комплект)  Delta 70  (2шт)   EVO</t>
  </si>
  <si>
    <t>P-596</t>
  </si>
  <si>
    <t>Пружина ножки кикстартера Delta</t>
  </si>
  <si>
    <t>P-611</t>
  </si>
  <si>
    <t>Пружина сцепления Delta</t>
  </si>
  <si>
    <t>P-613</t>
  </si>
  <si>
    <t>Пружинка ножки боковой Delta</t>
  </si>
  <si>
    <t>P-621</t>
  </si>
  <si>
    <t>Пыльники перьев Delta (Ø25мм/25x35x9)</t>
  </si>
  <si>
    <t>R-1</t>
  </si>
  <si>
    <t>Распредвал (в сборе)  Delta</t>
  </si>
  <si>
    <t>R-1042</t>
  </si>
  <si>
    <t>Распредвал (в сборе) Delta (со звездой)</t>
  </si>
  <si>
    <t>R-24</t>
  </si>
  <si>
    <t>Резинка натяжителя цепи распредвала Delta</t>
  </si>
  <si>
    <t>R-25</t>
  </si>
  <si>
    <t>Резинка ножки кикстартера Delta</t>
  </si>
  <si>
    <t>R-26</t>
  </si>
  <si>
    <t>Резинка ножки переключения передач Delta</t>
  </si>
  <si>
    <t>R-1135</t>
  </si>
  <si>
    <t>Резинки подножек водителя Delta (жёлтые, металл-синий)</t>
  </si>
  <si>
    <t>R-1134</t>
  </si>
  <si>
    <t>Резинки подножек водителя Delta (жёлтые, металл-хром)</t>
  </si>
  <si>
    <t>P-9746</t>
  </si>
  <si>
    <t>Резинки подножек водителя Delta (жёлтые,металл-зелёный)</t>
  </si>
  <si>
    <t>R-1141</t>
  </si>
  <si>
    <t>Резинки подножек водителя Delta (зелёные, металл-зелёный)</t>
  </si>
  <si>
    <t>R-1143</t>
  </si>
  <si>
    <t>Резинки подножек водителя Delta (зелёные, металл-синий)</t>
  </si>
  <si>
    <t>P-9745</t>
  </si>
  <si>
    <t>Резинки подножек водителя Delta (зелёные, металл-хром)</t>
  </si>
  <si>
    <t>R-1133</t>
  </si>
  <si>
    <t>Резинки подножек водителя Delta (красные, металл-жёлтый)</t>
  </si>
  <si>
    <t>P-9684</t>
  </si>
  <si>
    <t>Резинки подножек водителя Delta (красные, металл-зелёный)</t>
  </si>
  <si>
    <t>R-1131</t>
  </si>
  <si>
    <t>Резинки подножек водителя Delta (красные, металл-хром)</t>
  </si>
  <si>
    <t>R-1128</t>
  </si>
  <si>
    <t>Резинки подножек водителя Delta (полиуретан-жёлтый, металл-красный)</t>
  </si>
  <si>
    <t>R-1122</t>
  </si>
  <si>
    <t>Резинки подножек водителя Delta (полиуретан-жёлтый, металл-синий)</t>
  </si>
  <si>
    <t>R-1130</t>
  </si>
  <si>
    <t>Резинки подножек водителя Delta (полиуретан-красный, металл-жёлтый)   TMMP</t>
  </si>
  <si>
    <t>R-1129</t>
  </si>
  <si>
    <t>Резинки подножек водителя Delta (полиуретан-красный, металл-красный металик)</t>
  </si>
  <si>
    <t>R-1127</t>
  </si>
  <si>
    <t>Резинки подножек водителя Delta (полиуретан-красный, металл-красный)   TMMP</t>
  </si>
  <si>
    <t>R-31</t>
  </si>
  <si>
    <t>Резинки подножек водителя Delta (полиуретан-красный, металл-синий)   TMMP</t>
  </si>
  <si>
    <t>R-1120</t>
  </si>
  <si>
    <t>Резинки подножек водителя Delta (полиуретан, жёлтые)   TMMP</t>
  </si>
  <si>
    <t>R-1121</t>
  </si>
  <si>
    <t>Резинки подножек водителя Delta (полиуретан, зелёные)   TMMP</t>
  </si>
  <si>
    <t>R-29</t>
  </si>
  <si>
    <t>Резинки подножек водителя Delta (полиуретан, красные)   TMMP</t>
  </si>
  <si>
    <t>R-1119</t>
  </si>
  <si>
    <t>Резинки подножек водителя Delta (полиуретан, синие)   TMMP</t>
  </si>
  <si>
    <t>R-1142</t>
  </si>
  <si>
    <t>Резинки подножек водителя Delta (салатневые, металл-жёлтый)</t>
  </si>
  <si>
    <t>R-1136</t>
  </si>
  <si>
    <t>Резинки подножек водителя Delta (синие, металл-жёлтый)</t>
  </si>
  <si>
    <t>R-1138</t>
  </si>
  <si>
    <t>Резинки подножек водителя Delta (синие, металл-зелёный)</t>
  </si>
  <si>
    <t>P-9744</t>
  </si>
  <si>
    <t>Резинки подножек водителя Delta (синие, металл-красный)</t>
  </si>
  <si>
    <t>R-1132</t>
  </si>
  <si>
    <t>Резинки подножек водителя Delta (синие, металл-синий)</t>
  </si>
  <si>
    <t>R-30</t>
  </si>
  <si>
    <t>Резинки подножек водителя Delta хром</t>
  </si>
  <si>
    <t>R-39</t>
  </si>
  <si>
    <t>Реле поворотов Delta</t>
  </si>
  <si>
    <t>R-40</t>
  </si>
  <si>
    <t>Реле поворотов Delta с сигналом</t>
  </si>
  <si>
    <t>R-55</t>
  </si>
  <si>
    <t>Реле стартера Delta/Alpha</t>
  </si>
  <si>
    <t>R-63</t>
  </si>
  <si>
    <t>Реле тока Delta/Alfa/Active для 2-х катушечного генератора   TMMP</t>
  </si>
  <si>
    <t>R-1149</t>
  </si>
  <si>
    <t>Реле тока Delta/Alfa/Active для 2-х катушечного генератора  (старого образца)</t>
  </si>
  <si>
    <t>R-64</t>
  </si>
  <si>
    <t>Реле тока Delta/Alfa/Active для 6-ти катушечного генератора   TMMP</t>
  </si>
  <si>
    <t>R-112</t>
  </si>
  <si>
    <t>Ремкомплект карбюратора Alpha</t>
  </si>
  <si>
    <t>R-113</t>
  </si>
  <si>
    <t>Ремкомплект карбюратора Delta 110</t>
  </si>
  <si>
    <t>R-115</t>
  </si>
  <si>
    <t>Ремкомплект карбюратора Delta 70/90/110</t>
  </si>
  <si>
    <t>R-1152</t>
  </si>
  <si>
    <t>Ремкомплект обгонной муфты Delta/Alpha (+0.2mm)</t>
  </si>
  <si>
    <t>R-138</t>
  </si>
  <si>
    <t>Ремкомплект перьев Delta Ø25mm</t>
  </si>
  <si>
    <t>R-143</t>
  </si>
  <si>
    <t>Ролик стопорный вала п/п Delta</t>
  </si>
  <si>
    <t>R-161</t>
  </si>
  <si>
    <t>Руль Delta</t>
  </si>
  <si>
    <t>R-160</t>
  </si>
  <si>
    <t>Руль Viper Active</t>
  </si>
  <si>
    <t>R-191</t>
  </si>
  <si>
    <t>Ручки выжимные руля "рыбки" Delta (хром)</t>
  </si>
  <si>
    <t>R-196</t>
  </si>
  <si>
    <t>Ручки руля Alpha резиновые</t>
  </si>
  <si>
    <t>R-212</t>
  </si>
  <si>
    <t>Рычаг включения сцепления Delta</t>
  </si>
  <si>
    <t>S-5214</t>
  </si>
  <si>
    <t>Сайлентблок амортизатора  Delta (пара)</t>
  </si>
  <si>
    <t>S-10</t>
  </si>
  <si>
    <t>Сайлентблок задней вилки Delta  (компл. 2шт)</t>
  </si>
  <si>
    <t>S-5213</t>
  </si>
  <si>
    <t>Сальник демпферной муфты Delta (25x40x6.5)</t>
  </si>
  <si>
    <t>S-13</t>
  </si>
  <si>
    <t>Сальник заднего колеса Delta большой (20*40*8)</t>
  </si>
  <si>
    <t>S-14</t>
  </si>
  <si>
    <t>Сальник колеса Delta маленький</t>
  </si>
  <si>
    <t>S-16</t>
  </si>
  <si>
    <t>Сальники Delta (комплект)   TMMP</t>
  </si>
  <si>
    <t>S-33</t>
  </si>
  <si>
    <t>Сальники клапанов Delta ( комплект 2 шт ) TMMP</t>
  </si>
  <si>
    <t>S-40</t>
  </si>
  <si>
    <t>Сальники стартера Delta</t>
  </si>
  <si>
    <t>S-97</t>
  </si>
  <si>
    <t>Сетка маслонасоса Delta</t>
  </si>
  <si>
    <t>S-99</t>
  </si>
  <si>
    <t>Сигнал 12v</t>
  </si>
  <si>
    <t>S-5270</t>
  </si>
  <si>
    <t>Сигнал 12v (SUPER, с пластиком)</t>
  </si>
  <si>
    <t>S-107</t>
  </si>
  <si>
    <t>Сигнализация скутер ТММР</t>
  </si>
  <si>
    <t>S-5352</t>
  </si>
  <si>
    <t>Сигнализация скутер ТММР   NEW</t>
  </si>
  <si>
    <t>S-110</t>
  </si>
  <si>
    <t>Сигналы Alpha (2шт)</t>
  </si>
  <si>
    <t>S-115</t>
  </si>
  <si>
    <t>Сиденье Alpha (пластиковая основа)</t>
  </si>
  <si>
    <t>S-114</t>
  </si>
  <si>
    <t>Сиденье Viper Active</t>
  </si>
  <si>
    <t>S-5657</t>
  </si>
  <si>
    <t>Сиденье Viper Active (тип 2)   NEW</t>
  </si>
  <si>
    <t>S-5318</t>
  </si>
  <si>
    <t>Сиденье водителя Delta (железная основа)</t>
  </si>
  <si>
    <t>S-119</t>
  </si>
  <si>
    <t>Сиденье водителя Delta (пластиковая основа)</t>
  </si>
  <si>
    <t>S-123</t>
  </si>
  <si>
    <t>Сиденья Delta (водителя+ пассажира)</t>
  </si>
  <si>
    <t>S-5231</t>
  </si>
  <si>
    <t>Спидометр Delta для приборов (120 км/ч) хром</t>
  </si>
  <si>
    <t>S-130</t>
  </si>
  <si>
    <t>Спидометр Delta хром 60 км/ч</t>
  </si>
  <si>
    <t>S-136</t>
  </si>
  <si>
    <t>Спица Delta (Ø3.12*160mm 1шт)</t>
  </si>
  <si>
    <t>S-143</t>
  </si>
  <si>
    <t>Стартер  Delta   TMMP</t>
  </si>
  <si>
    <t>S-175</t>
  </si>
  <si>
    <t>Стекло поворотов Delta круглое</t>
  </si>
  <si>
    <t>S-178</t>
  </si>
  <si>
    <t>Стекло стопа Delta/Alpha</t>
  </si>
  <si>
    <t>S-182</t>
  </si>
  <si>
    <t>Стекло фары Delta квадратное</t>
  </si>
  <si>
    <t>S-183</t>
  </si>
  <si>
    <t>Стекло фары Delta круглое 140mm</t>
  </si>
  <si>
    <t>F-176</t>
  </si>
  <si>
    <t>Стоп (в сборе) Active</t>
  </si>
  <si>
    <t>F-1057</t>
  </si>
  <si>
    <t>Стоп (в сборе) Delta/Alpha  (Vintage)</t>
  </si>
  <si>
    <t>F-161</t>
  </si>
  <si>
    <t>Стоп (в сборе) Delta/Alpha  LED (чёрная ножка)</t>
  </si>
  <si>
    <t>F-163</t>
  </si>
  <si>
    <t>Стоп (в сборе) Delta/Alpha (с белыми поворотами, чёрная ножка)</t>
  </si>
  <si>
    <t>F-165</t>
  </si>
  <si>
    <t>Стоп (в сборе) Delta/Alpha (с желтыми поворотами, чёрная ножка)</t>
  </si>
  <si>
    <t>S-5210</t>
  </si>
  <si>
    <t>Ступица заднего колеса (барабан) Delta под спицы</t>
  </si>
  <si>
    <t>S-191</t>
  </si>
  <si>
    <t>Ступица тормозная Delta задняя в сборе</t>
  </si>
  <si>
    <t>S-192</t>
  </si>
  <si>
    <t>Ступица тормозная Delta передняя в сборе</t>
  </si>
  <si>
    <t>S-205</t>
  </si>
  <si>
    <t>Сцепление Delta автоматическое</t>
  </si>
  <si>
    <t>S-206</t>
  </si>
  <si>
    <t>Сцепление Delta механика</t>
  </si>
  <si>
    <t>S-215</t>
  </si>
  <si>
    <t>Съёмник магнето Delta профессиональный NEW</t>
  </si>
  <si>
    <t>T-1047</t>
  </si>
  <si>
    <t>Тахометр электронный Alfa для хром приборов</t>
  </si>
  <si>
    <t>T-25</t>
  </si>
  <si>
    <t>Тормозной диск Active</t>
  </si>
  <si>
    <t>T-26</t>
  </si>
  <si>
    <t>Траверса Delta Ø25mm</t>
  </si>
  <si>
    <t>T-27</t>
  </si>
  <si>
    <t>Траверса Delta Ø27mm</t>
  </si>
  <si>
    <t>T-34</t>
  </si>
  <si>
    <t>Трос газа Alpha  (L=850mm)   TMMP</t>
  </si>
  <si>
    <t>T-1048</t>
  </si>
  <si>
    <t>Трос газа Viper Active (L=750mm)   EVO</t>
  </si>
  <si>
    <t>T-50</t>
  </si>
  <si>
    <t>Трос газа Viper Active (L=750mm)   TMMP</t>
  </si>
  <si>
    <t>T-67</t>
  </si>
  <si>
    <t>Трос переднего тормоза Delta  (L=1210mm)   TMMP</t>
  </si>
  <si>
    <t>T-1040</t>
  </si>
  <si>
    <t>Трос переднего тормоза Delta (L=1210mm)  EVO</t>
  </si>
  <si>
    <t>T-1049</t>
  </si>
  <si>
    <t>Трос спидометра Viper Active (дисковый тормоз)   TMMP</t>
  </si>
  <si>
    <t>T-103</t>
  </si>
  <si>
    <t>Трос сцепления Alpha  (L=960mm)   TMMP</t>
  </si>
  <si>
    <t>T-104</t>
  </si>
  <si>
    <t>Трос сцепления Delta  (L=1070mm)   TMMP</t>
  </si>
  <si>
    <t>T-116</t>
  </si>
  <si>
    <t>Тяга педали тормоза Delta/Alpha</t>
  </si>
  <si>
    <t>J-70</t>
  </si>
  <si>
    <t>Уплотнительная резинка крышки регулировки клапанов</t>
  </si>
  <si>
    <t>U-3</t>
  </si>
  <si>
    <t>Успокоители цепи стартера Delta ( 2 шт. большая и маленькая лыжа )   TMMP</t>
  </si>
  <si>
    <t>F-13</t>
  </si>
  <si>
    <t>Фара Viper Active</t>
  </si>
  <si>
    <t>F-1056</t>
  </si>
  <si>
    <t>Фара Viper Active (нового образца)</t>
  </si>
  <si>
    <t>F-17</t>
  </si>
  <si>
    <t>Фара двойная Delta</t>
  </si>
  <si>
    <t>F-1095</t>
  </si>
  <si>
    <t>Фара квадратная белая (без подсветки)  Delta/Карпаты    #S</t>
  </si>
  <si>
    <t>F-28</t>
  </si>
  <si>
    <t>Фара круглая Delta хром пластик</t>
  </si>
  <si>
    <t>F-53</t>
  </si>
  <si>
    <t>Фильтр воздушный (в сборе) Viper Active</t>
  </si>
  <si>
    <t>F-1133</t>
  </si>
  <si>
    <t>Фильтр топливный мото (длинный, 10.5см)</t>
  </si>
  <si>
    <t>F-98</t>
  </si>
  <si>
    <t>Фильтр топливный мото (длинный)</t>
  </si>
  <si>
    <t>C-39</t>
  </si>
  <si>
    <t>Цепь распредвала Delta 110   25Hx84L   TMMP</t>
  </si>
  <si>
    <t>C-1015</t>
  </si>
  <si>
    <t>Цепь распредвала Delta 50/70  25Hx82L   EVO</t>
  </si>
  <si>
    <t>C-40</t>
  </si>
  <si>
    <t>Цепь распредвала Delta 70  (25Hx82L)   TMMP</t>
  </si>
  <si>
    <t>C-1089</t>
  </si>
  <si>
    <t>Цепь распредвала Delta 70  25Hx82L   GOLDPAC</t>
  </si>
  <si>
    <t>C-1019</t>
  </si>
  <si>
    <t>Цепь стартера Delta   EVO</t>
  </si>
  <si>
    <t>C-44</t>
  </si>
  <si>
    <t>Цепь стартера Delta 50-110 (25Hx62L)  TMMP</t>
  </si>
  <si>
    <t>C-1093</t>
  </si>
  <si>
    <t>Цилиндр (в сборе)  Delta 100  (Ø50.00mm)   TMMP</t>
  </si>
  <si>
    <t>C-49</t>
  </si>
  <si>
    <t>Цилиндр (в сборе)  Delta 110  (Ø52.40mm, алюминиевый)   TMMP</t>
  </si>
  <si>
    <t>C-1008</t>
  </si>
  <si>
    <t>Цилиндр (в сборе)  Delta 110  (Ø52.40mm)   EVO</t>
  </si>
  <si>
    <t>C-51</t>
  </si>
  <si>
    <t>Цилиндр (в сборе)  Delta 110  (Ø52.40mm)   TMMP</t>
  </si>
  <si>
    <t>C-52</t>
  </si>
  <si>
    <t>Цилиндр (в сборе)  Delta 50   EVO</t>
  </si>
  <si>
    <t>C-54</t>
  </si>
  <si>
    <t>Цилиндр (в сборе)  Delta 70  (Ø47.00mm, поршень TEFLON)   TMMP</t>
  </si>
  <si>
    <t>C-56</t>
  </si>
  <si>
    <t>Цилиндр (в сборе)  Delta 70  (Ø47.00mm)   TMMP</t>
  </si>
  <si>
    <t>C-57</t>
  </si>
  <si>
    <t>Цилиндр (в сборе)  Delta 90   TMMP</t>
  </si>
  <si>
    <t>C-1003</t>
  </si>
  <si>
    <t>Цилиндр (голый)  Delta 100</t>
  </si>
  <si>
    <t>E-2</t>
  </si>
  <si>
    <t>Чехол сиденья Activ   TMMP</t>
  </si>
  <si>
    <t>E-12</t>
  </si>
  <si>
    <t>Чехол сиденья Delta   TMMP</t>
  </si>
  <si>
    <t>E-10</t>
  </si>
  <si>
    <t>Чехол сиденья Delta пассажирское</t>
  </si>
  <si>
    <t>H-1080</t>
  </si>
  <si>
    <t>Чехол сиденья пассажира  Delta (суперпрочный)</t>
  </si>
  <si>
    <t>J-3</t>
  </si>
  <si>
    <t>Шайба стопорная звезды Delta</t>
  </si>
  <si>
    <t>J-9</t>
  </si>
  <si>
    <t>Шатун коленвала Delta</t>
  </si>
  <si>
    <t>J-110</t>
  </si>
  <si>
    <t>Шпильки цилиндра Delta 110 к-т 4 шт ( 2*195mm  2*202mm )</t>
  </si>
  <si>
    <t>J-111</t>
  </si>
  <si>
    <t>Шпильки цилиндра Delta 70 к-т 4 шт  ( 2*188mm  2*195mm )</t>
  </si>
  <si>
    <t>J-139</t>
  </si>
  <si>
    <t>Щётки стартера Delta</t>
  </si>
  <si>
    <t>J-145</t>
  </si>
  <si>
    <t>Щуп масляный Delta короткий</t>
  </si>
  <si>
    <t>E-57</t>
  </si>
  <si>
    <t>Элемент воздушного фильтра Delta   D/L</t>
  </si>
  <si>
    <t>F-103</t>
  </si>
  <si>
    <t>Элемент воздушного фильтра Delta (поролон)</t>
  </si>
  <si>
    <t>F-1034</t>
  </si>
  <si>
    <t>Элемент воздушного фильтра Delta (фибра, без пропитки)</t>
  </si>
  <si>
    <t>Q-5</t>
  </si>
  <si>
    <t>Элемент воздушного фильтра Viper Active</t>
  </si>
  <si>
    <t>A-55</t>
  </si>
  <si>
    <t>Амортизаторы задние Minsk Sonik 125/150 L=300 mm</t>
  </si>
  <si>
    <t>A-74</t>
  </si>
  <si>
    <t>Амортизаторы передние (перья вилки)  Minsk Sonik 125/150  (длинные, Ø31мм)</t>
  </si>
  <si>
    <t>A-26</t>
  </si>
  <si>
    <t>Амортизаторы передние (перья вилки)  Minsk Sonik 125/150  (короткие, Ø31мм)</t>
  </si>
  <si>
    <t>B-1</t>
  </si>
  <si>
    <t>Багажник Minsk Sonik 125/150</t>
  </si>
  <si>
    <t>B-23</t>
  </si>
  <si>
    <t>Бензобак Minsk Sonik 125/150 красный</t>
  </si>
  <si>
    <t>B-24</t>
  </si>
  <si>
    <t>Бензобак Minsk Sonik 125/150 синий</t>
  </si>
  <si>
    <t>B-25</t>
  </si>
  <si>
    <t>Бензобак Minsk Sonik 125/150 чёрный</t>
  </si>
  <si>
    <t>B-51</t>
  </si>
  <si>
    <t>Болт головки Minsk Sonik CB 125/200</t>
  </si>
  <si>
    <t>V-5024</t>
  </si>
  <si>
    <t>Вал кикстартера (в сборе) Minsk Sonik CB 125/150</t>
  </si>
  <si>
    <t>V-5022</t>
  </si>
  <si>
    <t>Вал кикстартера (в сборе) Minsk Sonik CG 125</t>
  </si>
  <si>
    <t>V-5031</t>
  </si>
  <si>
    <t>Вал кикстартера (в сборе) Minsk Sonik CG 150  NEW</t>
  </si>
  <si>
    <t>V-6</t>
  </si>
  <si>
    <t>Вал кикстартера Minsk Sonik CG 125/150</t>
  </si>
  <si>
    <t>V-12</t>
  </si>
  <si>
    <t>Вал п/п Minsk Sonik CG 125/150</t>
  </si>
  <si>
    <t>V-20</t>
  </si>
  <si>
    <t>Вал червячный кпп Minsk Sonik CB/CG 125/200</t>
  </si>
  <si>
    <t>V-5026</t>
  </si>
  <si>
    <t>Вилочки п/п (в сборе) Minsk CG 125/150</t>
  </si>
  <si>
    <t>V-53</t>
  </si>
  <si>
    <t>Вилочки п/п (в сборе) Minsk Sonik CB 125/150</t>
  </si>
  <si>
    <t>V-63</t>
  </si>
  <si>
    <t>Втулка распредвала Minsk Sonik CB 125/200</t>
  </si>
  <si>
    <t>G-35</t>
  </si>
  <si>
    <t>Гидравлика в сборе Minsk Sonik 125/150</t>
  </si>
  <si>
    <t>G-48</t>
  </si>
  <si>
    <t>Глушитель Minsk Sonik 125/150</t>
  </si>
  <si>
    <t>G-75</t>
  </si>
  <si>
    <t>Головка цилиндра (в сборе)  Minsk Sonik CB 125</t>
  </si>
  <si>
    <t>G-76</t>
  </si>
  <si>
    <t>Головка цилиндра (в сборе)  Minsk Sonik CB 150</t>
  </si>
  <si>
    <t>G-77</t>
  </si>
  <si>
    <t>Головка цилиндра (в сборе)  Minsk Sonik CB 200</t>
  </si>
  <si>
    <t>G-93</t>
  </si>
  <si>
    <t>Гофра вилки Minsk Sonik зеленая</t>
  </si>
  <si>
    <t>G-92</t>
  </si>
  <si>
    <t>Гофра вилки Minsk Sonik черная</t>
  </si>
  <si>
    <t>D-1014</t>
  </si>
  <si>
    <t>Датчик включеной скорости Minsk Sonik 125/150</t>
  </si>
  <si>
    <t>D-1066</t>
  </si>
  <si>
    <t>Двигатель MINSK-SONIK CB 125cc</t>
  </si>
  <si>
    <t>D-36</t>
  </si>
  <si>
    <t>Двигатель MINSK-SONIK CB 150cc</t>
  </si>
  <si>
    <t>D-37</t>
  </si>
  <si>
    <t>Двигатель MINSK-SONIK CB 200cc</t>
  </si>
  <si>
    <t>D-1046</t>
  </si>
  <si>
    <t>Двигатель MINSK-SONIK CB 250cc</t>
  </si>
  <si>
    <t>D-38</t>
  </si>
  <si>
    <t>Двигатель MINSK-SONIK CB 250cc с балансирным валом</t>
  </si>
  <si>
    <t>D-26</t>
  </si>
  <si>
    <t>Двигатель MINSK-SONIK CG 150 сс</t>
  </si>
  <si>
    <t>D-1069</t>
  </si>
  <si>
    <t>Двигатель MINSK-SONIK CG 200 cc с балансирным валом</t>
  </si>
  <si>
    <t>D-27</t>
  </si>
  <si>
    <t>Двигатель MINSK-SONIK CG 200 сс</t>
  </si>
  <si>
    <t>D-28</t>
  </si>
  <si>
    <t>Двигатель MINSK-SONIK CG 250 cc</t>
  </si>
  <si>
    <t>D-29</t>
  </si>
  <si>
    <t>Двигатель MINSK-SONIK CG 250 cc с балансирным валом</t>
  </si>
  <si>
    <t>D-49</t>
  </si>
  <si>
    <t>Демпферная муфта Minsk-SONIK 125/150 (голая)</t>
  </si>
  <si>
    <t>D-50</t>
  </si>
  <si>
    <t>Демпферная муфта с звездой Minsk-SONIK 125/150</t>
  </si>
  <si>
    <t>D-56</t>
  </si>
  <si>
    <t>Демпферная резинка Minsk-SONIK 125/150 (силикон)   TMMP</t>
  </si>
  <si>
    <t>D-57</t>
  </si>
  <si>
    <t>Демпферная резинка Minsk-SONIK 125/150 (чёрная)   TMMP</t>
  </si>
  <si>
    <t>D-70</t>
  </si>
  <si>
    <t>Диск колеса (задний) Minsk-SONIK 125/150 1,85*18"</t>
  </si>
  <si>
    <t>D-69</t>
  </si>
  <si>
    <t>Диск колеса (передний) Minsk-SONIK 125/150  1,6" *18"  (чёрный)</t>
  </si>
  <si>
    <t>D-86</t>
  </si>
  <si>
    <t>Диски сцепления (комплект)  MINSK CB 125/200  (5 штук)   TMMP</t>
  </si>
  <si>
    <t>Z-1057</t>
  </si>
  <si>
    <t>Защита (кожух) цепи Minsk Sonik</t>
  </si>
  <si>
    <t>Z-77</t>
  </si>
  <si>
    <t>Звезда ведомая (задняя)  Minsk Sonik 428*38   TMMP</t>
  </si>
  <si>
    <t>Z-78</t>
  </si>
  <si>
    <t>Звезда ведомая (задняя)  Minsk Sonik 428*38   TMMP  SUPER</t>
  </si>
  <si>
    <t>Z-81</t>
  </si>
  <si>
    <t>Звезда ведомая (задняя)  Minsk Sonik 428*43   TMMP</t>
  </si>
  <si>
    <t>Z-82</t>
  </si>
  <si>
    <t>Звезда ведомая (задняя)  Minsk Sonik 428*43   TMMP  SUPER</t>
  </si>
  <si>
    <t>Z-1028</t>
  </si>
  <si>
    <t>Звезда ведомая (задняя)  Minsk Sonik 428*45   TMMP</t>
  </si>
  <si>
    <t>Z-1025</t>
  </si>
  <si>
    <t>Звезда ведомая (задняя)  Minsk Sonik 428*45   TMMP  SUPER</t>
  </si>
  <si>
    <t>Z-1093</t>
  </si>
  <si>
    <t>Звезда ведомая (задняя)  Minsk Sonik 428*52   TMMP</t>
  </si>
  <si>
    <t>Z-1019</t>
  </si>
  <si>
    <t>Звезда ведомая (задняя)  Minsk Sonik 428*52   TMMP  SUPER</t>
  </si>
  <si>
    <t>Z-115</t>
  </si>
  <si>
    <t>Звёздочка передняя Minsk Sonik 428*15  TMMP</t>
  </si>
  <si>
    <t>Z-119</t>
  </si>
  <si>
    <t>Звёздочка передняя Minsk Sonik 428*17  TMMP</t>
  </si>
  <si>
    <t>Z-120</t>
  </si>
  <si>
    <t>Звёздочка передняя Minsk Sonik 428*17  TMMP  SUPER</t>
  </si>
  <si>
    <t>Z-121</t>
  </si>
  <si>
    <t>Звёздочка распредвала  MINSK CB 125/200</t>
  </si>
  <si>
    <t>Z-139</t>
  </si>
  <si>
    <t>Звёзды Minsk Sonik 428*15*38 (набор)   TMMP  SUPER</t>
  </si>
  <si>
    <t>Z-1104</t>
  </si>
  <si>
    <t>Звёзды Minsk Sonik 428*15*39 (набор)   TMMP  SUPER</t>
  </si>
  <si>
    <t>Z-140</t>
  </si>
  <si>
    <t>Звёзды Minsk Sonik 428*15*41 (набор)   TMMP</t>
  </si>
  <si>
    <t>Z-141</t>
  </si>
  <si>
    <t>Звёзды Minsk Sonik 428*15*41 (набор)   TMMP  SUPER</t>
  </si>
  <si>
    <t>Z-142</t>
  </si>
  <si>
    <t>Звёзды Minsk Sonik 428*15*43 (набор)   TMMP</t>
  </si>
  <si>
    <t>Z-143</t>
  </si>
  <si>
    <t>Звёзды Minsk Sonik 428*15*43 (набор)   TMMP SUPER</t>
  </si>
  <si>
    <t>Z-1029</t>
  </si>
  <si>
    <t>Звёзды Minsk Sonik 428*15*45 (набор)   TMMP</t>
  </si>
  <si>
    <t>Z-1030</t>
  </si>
  <si>
    <t>Звёзды Minsk Sonik 428*15*45 (набор)   TMMP SUPER</t>
  </si>
  <si>
    <t>Z-144</t>
  </si>
  <si>
    <t>Звёзды Minsk Sonik 428*15*46 (набор)   TMMP</t>
  </si>
  <si>
    <t>Z-145</t>
  </si>
  <si>
    <t>Звёзды Minsk Sonik 428*15*46 (набор)   TMMP  SUPER</t>
  </si>
  <si>
    <t>Z-146</t>
  </si>
  <si>
    <t>Звёзды Minsk Sonik 428*15*52 (набор)   TMMP</t>
  </si>
  <si>
    <t>Z-1091</t>
  </si>
  <si>
    <t>Звёзды Minsk Sonik 428*15*52 (набор)   TMMP  SUPER</t>
  </si>
  <si>
    <t>Z-1075</t>
  </si>
  <si>
    <t>Звёзды+цепь Minsk Sonik 428*15*43 цепь 428-116L (набор)   TMMP SUPER</t>
  </si>
  <si>
    <t>Z-1076</t>
  </si>
  <si>
    <t>Звёзды+цепь Minsk Sonik 428*15*43 цепь 428-118L (набор)   TMMP SUPER</t>
  </si>
  <si>
    <t>Z-162</t>
  </si>
  <si>
    <t>Зеркала Delta/Minsk Sonik с поворотами ножка хром</t>
  </si>
  <si>
    <t>Z-163</t>
  </si>
  <si>
    <t>Зеркала Delta/Minsk Sonik с поворотами ножка чёрная</t>
  </si>
  <si>
    <t>Z-1077</t>
  </si>
  <si>
    <t>Зеркала Minsk Sonik SUPER  M10mm   TMMP</t>
  </si>
  <si>
    <t>Z-164</t>
  </si>
  <si>
    <t>Зеркала Minsk-SONIK 125/150 ITALIKA</t>
  </si>
  <si>
    <t>K-32</t>
  </si>
  <si>
    <t>Карбюратор Minsk-Sonik 125/150</t>
  </si>
  <si>
    <t>K-34</t>
  </si>
  <si>
    <t>Карбюратор Minsk-Sonik 200</t>
  </si>
  <si>
    <t>K-61</t>
  </si>
  <si>
    <t>Картер Minsk Sonik CG 125/150</t>
  </si>
  <si>
    <t>K-1002</t>
  </si>
  <si>
    <t>Катушка зажигания MINSK-SONIK   TMMP</t>
  </si>
  <si>
    <t>K-86</t>
  </si>
  <si>
    <t>Катушка зажигания Minsk-SONIK 125/150 с конденсатором</t>
  </si>
  <si>
    <t>K-159</t>
  </si>
  <si>
    <t>Коленвал Minsk CG 125/150</t>
  </si>
  <si>
    <t>K-5152</t>
  </si>
  <si>
    <t>Кольца  Minsk CG 125  std  YOG</t>
  </si>
  <si>
    <t>K-375</t>
  </si>
  <si>
    <t>Коммутатор Minsk-SONIK CB 125/150</t>
  </si>
  <si>
    <t>K-457</t>
  </si>
  <si>
    <t>Кран топливный Minsk-SONIK 125/150   TMMP</t>
  </si>
  <si>
    <t>K-469</t>
  </si>
  <si>
    <t>Крепление фары Minsk-SONIK 125/150</t>
  </si>
  <si>
    <t>K-477</t>
  </si>
  <si>
    <t>Крыло заднее Minsk-SONIK 125/150</t>
  </si>
  <si>
    <t>K-486</t>
  </si>
  <si>
    <t>Крыло переднее  Minsk-SONIK 125/150 (красное)</t>
  </si>
  <si>
    <t>K-487</t>
  </si>
  <si>
    <t>Крыло переднее  Minsk-SONIK 125/150 (синее)</t>
  </si>
  <si>
    <t>P-498</t>
  </si>
  <si>
    <t>Крышка бака Minsk Sonik алюминий</t>
  </si>
  <si>
    <t>K-518</t>
  </si>
  <si>
    <t>Крышка двигателя правая Minsk CG 125/150</t>
  </si>
  <si>
    <t>K-5066</t>
  </si>
  <si>
    <t>Крышка звезды MINSK-Sonik CB</t>
  </si>
  <si>
    <t>K-5072</t>
  </si>
  <si>
    <t>Крышка регулировки клапанов Minsk Sonik CB</t>
  </si>
  <si>
    <t>K-545</t>
  </si>
  <si>
    <t>Крышка хром головки   Minsk Sonik CB 125/200</t>
  </si>
  <si>
    <t>K-549</t>
  </si>
  <si>
    <t>Крышка шестерни стартера  Minsk Sonik CB 125/200</t>
  </si>
  <si>
    <t>M-9</t>
  </si>
  <si>
    <t>Магнето Minsk Sonik</t>
  </si>
  <si>
    <t>M-41</t>
  </si>
  <si>
    <t>Маятник Minsk-SONIK 125/150</t>
  </si>
  <si>
    <t>N-22</t>
  </si>
  <si>
    <t>Направляющие клапанов Sonik CG 125/250</t>
  </si>
  <si>
    <t>N-37</t>
  </si>
  <si>
    <t>Натяжитель цепи колеса MINSK</t>
  </si>
  <si>
    <t>N-1016</t>
  </si>
  <si>
    <t>Натяжитель цепи распредвала Minsk-Sonik 125/150</t>
  </si>
  <si>
    <t>N-79</t>
  </si>
  <si>
    <t>Ножка п/п Minsk-SONIK 125/150</t>
  </si>
  <si>
    <t>N-5121</t>
  </si>
  <si>
    <t>Ножка п/п Minsk-SONIK 125/150 (mod 2)</t>
  </si>
  <si>
    <t>O-2</t>
  </si>
  <si>
    <t>Обтекатель Minsk-Sonik/JAWA (красный, под круглую фару)</t>
  </si>
  <si>
    <t>O-3</t>
  </si>
  <si>
    <t>Обтекатель Minsk-Sonik/JAWA (синий, под круглую фару)</t>
  </si>
  <si>
    <t>O-4</t>
  </si>
  <si>
    <t>Обтекатель Minsk-Sonik/JAWA (чёрный, под круглую фару)</t>
  </si>
  <si>
    <t>O-25</t>
  </si>
  <si>
    <t>Ось вилки Minsk-SONIK 125/150</t>
  </si>
  <si>
    <t>O-28</t>
  </si>
  <si>
    <t>Ось заднего колеса Minsk-SONIK 125/150</t>
  </si>
  <si>
    <t>O-34</t>
  </si>
  <si>
    <t>Ось переднего колеса Minsk-SONIK 125/150</t>
  </si>
  <si>
    <t>V-19</t>
  </si>
  <si>
    <t>Ось рокеров  Minsk Sonik CB 125/200</t>
  </si>
  <si>
    <t>P-9682</t>
  </si>
  <si>
    <t>Панель приборов Minsk-SONIK (плоская)</t>
  </si>
  <si>
    <t>P-17</t>
  </si>
  <si>
    <t>Панель приборов Minsk-SONIK 125/150</t>
  </si>
  <si>
    <t>P-71</t>
  </si>
  <si>
    <t>Патрубок карбюратора Minsk-SONIK 125/150 (прямой)</t>
  </si>
  <si>
    <t>P-9677</t>
  </si>
  <si>
    <t>Педаль тормоза Minsk Sonik  (mod.2)</t>
  </si>
  <si>
    <t>P-59</t>
  </si>
  <si>
    <t>Переключатель руля Minsk-SONIK 125/150  (левый+правый) чёрные</t>
  </si>
  <si>
    <t>P-9640</t>
  </si>
  <si>
    <t>Пластик сиденья Minsk Sonik красный (без лючка)</t>
  </si>
  <si>
    <t>P-9787</t>
  </si>
  <si>
    <t>Пластик сиденья Minsk Sonik синий (без лючка)</t>
  </si>
  <si>
    <t>P-9068</t>
  </si>
  <si>
    <t>Пластина траверса Minsk-SONIK 125/150 (железная)</t>
  </si>
  <si>
    <t>P-9057</t>
  </si>
  <si>
    <t>Подножки водителя Minsk-SONIK 125/150</t>
  </si>
  <si>
    <t>P-126</t>
  </si>
  <si>
    <t>Подножки пассажирские Minsk-SONIK 125/150</t>
  </si>
  <si>
    <t>P-156</t>
  </si>
  <si>
    <t>Подшипник руля Minsk Sonik  TMMP</t>
  </si>
  <si>
    <t>P-9023</t>
  </si>
  <si>
    <t>Подшипники (набор) Minsk-Sonik CB 125/150/200</t>
  </si>
  <si>
    <t>P-260</t>
  </si>
  <si>
    <t>Поршень (в сборе) MINSK CB/CG 125  std (Ø56.50mm)   EVO</t>
  </si>
  <si>
    <t>P-9059</t>
  </si>
  <si>
    <t>Привод спидометра Minsk-Sonik 125/150</t>
  </si>
  <si>
    <t>P-9788</t>
  </si>
  <si>
    <t>Прокладка глушителя Minsk Sonik CG125 (31x39x4.5mm, медная)</t>
  </si>
  <si>
    <t>P-9800</t>
  </si>
  <si>
    <t>Прокладка глушителя Minsk Sonik CG125 (31x39x4.5mm)</t>
  </si>
  <si>
    <t>P-524</t>
  </si>
  <si>
    <t>Прокладка головки клапанов Minsk Sonik CB250   TMMP</t>
  </si>
  <si>
    <t>P-563</t>
  </si>
  <si>
    <t>Прокладка цилиндра  Minsk-Viper CB 125  (1шт)</t>
  </si>
  <si>
    <t>P-564</t>
  </si>
  <si>
    <t>Прокладка цилиндра  Minsk-Viper CB 150  (1шт)</t>
  </si>
  <si>
    <t>P-9065</t>
  </si>
  <si>
    <t>Прокладка цилиндра  Minsk-Viper CB 200  (1шт)</t>
  </si>
  <si>
    <t>P-535</t>
  </si>
  <si>
    <t>Прокладки двигателя (комплект)  Minsk CG 125   TMMP</t>
  </si>
  <si>
    <t>P-536</t>
  </si>
  <si>
    <t>Прокладки двигателя (комплект)  Minsk CG 150   TMMP</t>
  </si>
  <si>
    <t>P-537</t>
  </si>
  <si>
    <t>Прокладки двигателя (комплект)  Minsk CG 200   TMMP</t>
  </si>
  <si>
    <t>P-9024</t>
  </si>
  <si>
    <t>Прокладки двигателя (комплект)  Minsk CG 250   TMMP</t>
  </si>
  <si>
    <t>P-9713</t>
  </si>
  <si>
    <t>Прокладки двигателя (комплект)  Minsk Sonik CG 125   EVO</t>
  </si>
  <si>
    <t>P-538</t>
  </si>
  <si>
    <t>Прокладки двигателя (комплект)  Minsk-Viper CB 125   TMMP</t>
  </si>
  <si>
    <t>P-539</t>
  </si>
  <si>
    <t>Прокладки двигателя (комплект)  Minsk-Viper CB 150   TMMP</t>
  </si>
  <si>
    <t>P-540</t>
  </si>
  <si>
    <t>Прокладки двигателя (комплект)  Minsk-Viper CB 200   TMMP</t>
  </si>
  <si>
    <t>P-541</t>
  </si>
  <si>
    <t>Прокладки двигателя (комплект)  Minsk-Viper CB 250   TMMP</t>
  </si>
  <si>
    <t>P-9046</t>
  </si>
  <si>
    <t>Прокладки цилиндра  Minsk-Sonik  CB 125 ( упаковка 5шт)</t>
  </si>
  <si>
    <t>P-9743</t>
  </si>
  <si>
    <t>Прокладки цилиндра  Minsk-Sonik  CB 250 (1шт, блистер)</t>
  </si>
  <si>
    <t>P-595</t>
  </si>
  <si>
    <t>Пружина ножки кикстартера  MINSK CB/CG 125/200</t>
  </si>
  <si>
    <t>P-620</t>
  </si>
  <si>
    <t>Пыльники вилки Minsk-SONIK 125/150 (32x44x10.5)   TMMP</t>
  </si>
  <si>
    <t>R-2</t>
  </si>
  <si>
    <t>Распредвал (в сборе) Minsk CG 125/150   TMMP</t>
  </si>
  <si>
    <t>R-46</t>
  </si>
  <si>
    <t>Реле поворотов Minsk-SONIK 125/150</t>
  </si>
  <si>
    <t>R-1050</t>
  </si>
  <si>
    <t>Реле регулятор напряжения Minsk-Sonik 125/150</t>
  </si>
  <si>
    <t>R-57</t>
  </si>
  <si>
    <t>Реле стартера MINSK усиленное с предохранителем  TMMP</t>
  </si>
  <si>
    <t>R-1115</t>
  </si>
  <si>
    <t>Рокера (в сборе) распредвала Minsk CG 125/150</t>
  </si>
  <si>
    <t>R-140</t>
  </si>
  <si>
    <t>Рокера распредвала Minsk CG 125/150</t>
  </si>
  <si>
    <t>R-164</t>
  </si>
  <si>
    <t>Руль Minsk-SONIK 125/150</t>
  </si>
  <si>
    <t>R-1038</t>
  </si>
  <si>
    <t>Ручка выжима сцепления Minsk-SONIK 125/150</t>
  </si>
  <si>
    <t>R-166</t>
  </si>
  <si>
    <t>Ручка выжима тормоза Minsk-SONIK 125/150</t>
  </si>
  <si>
    <t>R-207</t>
  </si>
  <si>
    <t>Ручки руля резиновые Minsk-SONIK 125/150</t>
  </si>
  <si>
    <t>S-5222</t>
  </si>
  <si>
    <t>Сайлентблок маятника подвески Minsk-Sonik   TMMP</t>
  </si>
  <si>
    <t>S-17</t>
  </si>
  <si>
    <t>Сальники (комплект)  Minsk CG   TMMP</t>
  </si>
  <si>
    <t>S-21</t>
  </si>
  <si>
    <t>Сальники (комплект) Minsk CB 125/150   TMMP</t>
  </si>
  <si>
    <t>S-100</t>
  </si>
  <si>
    <t>Сигнал Minsk-SONIK 125/150</t>
  </si>
  <si>
    <t>S-102</t>
  </si>
  <si>
    <t>Сигнал двойной с реле красный хром</t>
  </si>
  <si>
    <t>S-104</t>
  </si>
  <si>
    <t>Сигнал двойной с реле хром</t>
  </si>
  <si>
    <t>S-116</t>
  </si>
  <si>
    <t>Сиденье Minsk-SONIK 125/150</t>
  </si>
  <si>
    <t>S-152</t>
  </si>
  <si>
    <t>Стартер Minsk-Viper CB 125-200</t>
  </si>
  <si>
    <t>F-169</t>
  </si>
  <si>
    <t>Стоп (в сборе) Minsk-Sonik LED (чёрная ножка)</t>
  </si>
  <si>
    <t>S-193</t>
  </si>
  <si>
    <t>Ступица тормозная задняя Minsk-SONIK 125/150</t>
  </si>
  <si>
    <t>S-195</t>
  </si>
  <si>
    <t>Суппорт тормозной передний гидравл. Minsk-SONIK 125/150</t>
  </si>
  <si>
    <t>D-1003</t>
  </si>
  <si>
    <t>Сцепление (в сборе) Minsk CG 125/150</t>
  </si>
  <si>
    <t>S-210</t>
  </si>
  <si>
    <t>Сцепление (в сборе) Minsk-Viper CB 125</t>
  </si>
  <si>
    <t>S-216</t>
  </si>
  <si>
    <t>Съёмник магнето MINSK-SONIK</t>
  </si>
  <si>
    <t>T-24</t>
  </si>
  <si>
    <t>Тормозной диск Minsk-SONIK 125/150 (D=220mm, d=50mm)</t>
  </si>
  <si>
    <t>T-28</t>
  </si>
  <si>
    <t>Траверса Minsk-SONIK 125/150</t>
  </si>
  <si>
    <t>T-1024</t>
  </si>
  <si>
    <t>Трос газа Minsk-SONIK  SILICONE RED (L=970mm)   TMMP</t>
  </si>
  <si>
    <t>T-1041</t>
  </si>
  <si>
    <t>Трос газа Minsk-SONIK (L=970mm)   EVO</t>
  </si>
  <si>
    <t>T-42</t>
  </si>
  <si>
    <t>Трос газа Minsk-SONIK (L=970mm)   TMMP</t>
  </si>
  <si>
    <t>T-91</t>
  </si>
  <si>
    <t>Трос спидометра Minsk-SONIK (L=920mm)   TMMP</t>
  </si>
  <si>
    <t>T-117</t>
  </si>
  <si>
    <t>Тяга педали тормоза Minsk-SONIK 125/150</t>
  </si>
  <si>
    <t>U-2</t>
  </si>
  <si>
    <t>Успокоители цепи распредвала  MINSK CB 125/200</t>
  </si>
  <si>
    <t>F-20</t>
  </si>
  <si>
    <t>Фара квадратная LED ( 6 светодиодов )  18W</t>
  </si>
  <si>
    <t>F-26</t>
  </si>
  <si>
    <t>Фара квадратная синяя</t>
  </si>
  <si>
    <t>K-431</t>
  </si>
  <si>
    <t>Фильтр воздушный (в сборе) Minsk-SONIK 125/150</t>
  </si>
  <si>
    <t>P-450</t>
  </si>
  <si>
    <t>Цилиндр (в сборе)  Minsk CG 150   TMMP</t>
  </si>
  <si>
    <t>P-451</t>
  </si>
  <si>
    <t>Цилиндр (в сборе)  Minsk CG-200  (Ø63.5mm)  4Т-163FML     TMMP</t>
  </si>
  <si>
    <t>P-452</t>
  </si>
  <si>
    <t>Цилиндр (в сборе)  Minsk CG-250  (Ø67mm)  4T-167FMM      TMMP</t>
  </si>
  <si>
    <t>C-101</t>
  </si>
  <si>
    <t>Цилиндр (в сборе)  Minsk CВ 200  (Ø63,5mm, 4Т-163FML)   EVO</t>
  </si>
  <si>
    <t>C-102</t>
  </si>
  <si>
    <t>Цилиндр (в сборе)  Minsk CВ 250  (Ø65mm, 4T-167FMM)   TMMP</t>
  </si>
  <si>
    <t>C-103</t>
  </si>
  <si>
    <t>Цилиндр (в сборе)  Minsk-Viper CB 150</t>
  </si>
  <si>
    <t>J-3178</t>
  </si>
  <si>
    <t>Шайба стопорная моторной звезды Minsk-Sonik</t>
  </si>
  <si>
    <t>J-132</t>
  </si>
  <si>
    <t>Штанги головки Minsk-SONIK 125/150</t>
  </si>
  <si>
    <t>Q-1</t>
  </si>
  <si>
    <t>Элемент воздушного фильтра Minsk-Viper</t>
  </si>
  <si>
    <t>A-42</t>
  </si>
  <si>
    <t>Амортизаторы передние (перья вилки)  Yaben GY6 50  10" колесо</t>
  </si>
  <si>
    <t>A-76</t>
  </si>
  <si>
    <t>Амортизаторы передние (перья вилки)  Yaben GY6 80 для колеса 12”</t>
  </si>
  <si>
    <t>A-69</t>
  </si>
  <si>
    <t>Амортизаторы передние (перья вилки)  Yaben GY6 WIND</t>
  </si>
  <si>
    <t>B-16</t>
  </si>
  <si>
    <t>Бендекс Yaben GY6 60   TMMP</t>
  </si>
  <si>
    <t>B-22</t>
  </si>
  <si>
    <t>Бензобак Grand Prix</t>
  </si>
  <si>
    <t>B-78</t>
  </si>
  <si>
    <t>Бензобак STORM</t>
  </si>
  <si>
    <t>B-26</t>
  </si>
  <si>
    <t>Бензобак WIND</t>
  </si>
  <si>
    <t>B-67</t>
  </si>
  <si>
    <t>Болт бокового крепления головки Yaben</t>
  </si>
  <si>
    <t>V-1016</t>
  </si>
  <si>
    <t>Вал редуктора под колесо Yaben GY6 125 короткий L=70 mm</t>
  </si>
  <si>
    <t>V-17</t>
  </si>
  <si>
    <t>Вал редуктора под колесо Yaben GY6 6-50 короткий</t>
  </si>
  <si>
    <t>V-26</t>
  </si>
  <si>
    <t>Вариатор (в сборе) задний  Yaben GY6 125</t>
  </si>
  <si>
    <t>V-27</t>
  </si>
  <si>
    <t>Вариатор (в сборе) задний  Yaben GY6 60   TMMP</t>
  </si>
  <si>
    <t>V-31</t>
  </si>
  <si>
    <t>Вариатор передний (в сборе) Yaben GY6 125 "RACING"</t>
  </si>
  <si>
    <t>V-5013</t>
  </si>
  <si>
    <t>Вариатор передний (в сборе) YABEN GY6 125/150   TMMP</t>
  </si>
  <si>
    <t>V-5032</t>
  </si>
  <si>
    <t>Вариатор передний (в сборе) Yaben GY6 50  (+ шестерня)</t>
  </si>
  <si>
    <t>V-36</t>
  </si>
  <si>
    <t>Вариатор передний (в сборе) Yaben GY6 50  (без пальца)   TMMP</t>
  </si>
  <si>
    <t>V-5011</t>
  </si>
  <si>
    <t>Вариатор передний (в сборе) Yaben GY6 50  (палец+ крыльчатка)   TMMP</t>
  </si>
  <si>
    <t>V-1010</t>
  </si>
  <si>
    <t>Вентилятор вариатора Yaben GY6 50</t>
  </si>
  <si>
    <t>V-45</t>
  </si>
  <si>
    <t>Вентилятор магнето Yaben GY6 125/150</t>
  </si>
  <si>
    <t>V-46</t>
  </si>
  <si>
    <t>Вентилятор магнето Yaben GY6 50-100</t>
  </si>
  <si>
    <t>V-1000</t>
  </si>
  <si>
    <t>Винт регулировки клапанов Yaben GY6 50-150/Delta,/Alpha,/Active ( 2 штуки )   TMMP</t>
  </si>
  <si>
    <t>V-64</t>
  </si>
  <si>
    <t>Втулка сектора  Yaben GY6 125/150</t>
  </si>
  <si>
    <t>G-9304</t>
  </si>
  <si>
    <t>Гайка крепления колодок вариатора Yaben 50</t>
  </si>
  <si>
    <t>G-10</t>
  </si>
  <si>
    <t>Генератор Yaben GY6 125/150 (11 катушек)   TMMP</t>
  </si>
  <si>
    <t>G-11</t>
  </si>
  <si>
    <t>Генератор Yaben GY6 125/150 (6 катушек)   TMMP</t>
  </si>
  <si>
    <t>G-13</t>
  </si>
  <si>
    <t>Генератор Yaben GY6 125/150 (8 катушек)   TMMP</t>
  </si>
  <si>
    <t>G-23</t>
  </si>
  <si>
    <t>Генератор Yaben GY6 60   8 катушек ( 6+2 )   TMMP</t>
  </si>
  <si>
    <t>G-9361</t>
  </si>
  <si>
    <t>Генератор Yaben GY6 60   8 катушек ( 7+1 )   TMMP</t>
  </si>
  <si>
    <t>G-51</t>
  </si>
  <si>
    <t>Глушитель Yaben GY6 125/150  (чёрный)</t>
  </si>
  <si>
    <t>G-58</t>
  </si>
  <si>
    <t>Глушитель Yaben GY6 125/150 (бочёнок)</t>
  </si>
  <si>
    <t>G-59</t>
  </si>
  <si>
    <t>Глушитель Yaben GY6 50-100 бочёнок</t>
  </si>
  <si>
    <t>G-52</t>
  </si>
  <si>
    <t>Глушитель Yaben GY6 50-100 чёрный</t>
  </si>
  <si>
    <t>G-79</t>
  </si>
  <si>
    <t>Головка цилиндра (в сборе)  Yaben GY6 125   TMMP</t>
  </si>
  <si>
    <t>G-9328</t>
  </si>
  <si>
    <t>Головка цилиндра (в сборе)  Yaben GY6 150  без крышки клапанов   TMMP</t>
  </si>
  <si>
    <t>G-80</t>
  </si>
  <si>
    <t>Головка цилиндра (в сборе)  Yaben GY6 150  с крышкой клапанов    TMMP</t>
  </si>
  <si>
    <t>G-9327</t>
  </si>
  <si>
    <t>Головка цилиндра (в сборе)  Yaben GY6 80  без крышки клапанов   TMMP</t>
  </si>
  <si>
    <t>G-68</t>
  </si>
  <si>
    <t>Головка цилиндра (голая)  Yaben GY6 125  (+клапана)   TMMP</t>
  </si>
  <si>
    <t>G-67</t>
  </si>
  <si>
    <t>Головка цилиндра (голая)  Yaben GY6 125 (без клапанов)</t>
  </si>
  <si>
    <t>G-69</t>
  </si>
  <si>
    <t>Головка цилиндра (голая)  Yaben GY6 150  (+клапана)   TMMP</t>
  </si>
  <si>
    <t>G-9303</t>
  </si>
  <si>
    <t>Головка цилиндра (голая)  Yaben GY6 150 (без клапанов)   EVO</t>
  </si>
  <si>
    <t>G-83</t>
  </si>
  <si>
    <t>Головка цилиндра (голая)  Yaben GY6 80  (+клапана) TMMP</t>
  </si>
  <si>
    <t>D-5</t>
  </si>
  <si>
    <t>Датчик уровня топлива Yaben GY6 125</t>
  </si>
  <si>
    <t>D-11</t>
  </si>
  <si>
    <t>Датчик холла Yaben GY6 50/150   TMMP</t>
  </si>
  <si>
    <t>D-1068</t>
  </si>
  <si>
    <t>Двигатель Yaben GY6 150 длинная база 3,5*13" (короткий вал, 1 амортизатор)   ТММР</t>
  </si>
  <si>
    <t>D-32</t>
  </si>
  <si>
    <t>Двигатель Yaben GY6 80 длинная база (длинный вал, 2 амортизатора)</t>
  </si>
  <si>
    <t>D-34</t>
  </si>
  <si>
    <t>Двигатель Yaben GY6 80 короткая база (длинный вал, 2 амортизатора)</t>
  </si>
  <si>
    <t>D-33</t>
  </si>
  <si>
    <t>Двигатель Yaben GY6 80 короткая база (короткий вал, 1 амортизатор)</t>
  </si>
  <si>
    <t>M-1008</t>
  </si>
  <si>
    <t>Диафрагма карбюратора Yaben 150 c иглой (диафрагма 24mm)</t>
  </si>
  <si>
    <t>D-59</t>
  </si>
  <si>
    <t>Диафрагма карбюратора Yaben GY6 125 с иглой  (Ø22mm)</t>
  </si>
  <si>
    <t>D-62</t>
  </si>
  <si>
    <t>Диафрагма карбюратора Yaben GY6 60  с иглой</t>
  </si>
  <si>
    <t>D-1002</t>
  </si>
  <si>
    <t>Диск колеса (задний) 10" 110мм 19 шл ширина 2,5" аллюминиевый</t>
  </si>
  <si>
    <t>D-73</t>
  </si>
  <si>
    <t>Диск колеса (задний) 12" 130mm 19 шлицов  ширина 2,50" алюминиевый</t>
  </si>
  <si>
    <t>D-721</t>
  </si>
  <si>
    <t>Диск колеса (задний) 12" 130мм 19 шл ширина 3,5" аллюминиевый</t>
  </si>
  <si>
    <t>D-71</t>
  </si>
  <si>
    <t>Диск колеса (задний) Yaben GY6 60/125 3,5-12"  (литой)</t>
  </si>
  <si>
    <t>D-1044</t>
  </si>
  <si>
    <t>Диск колеса (задний) Yaben GY6-150  3,50-13"  (литой)</t>
  </si>
  <si>
    <t>D-74</t>
  </si>
  <si>
    <t>Диск колеса (передний) Yaben GY6 125 2,5-10" (литой)</t>
  </si>
  <si>
    <t>D-1006</t>
  </si>
  <si>
    <t>Диск колеса (передний) Yaben GY6 50/60/80  12" (алюминиевый)</t>
  </si>
  <si>
    <t>D-1070</t>
  </si>
  <si>
    <t>Диск колеса (передний) Yaben GY6 50/60/80  13" (алюминиевый)</t>
  </si>
  <si>
    <t>D-1007</t>
  </si>
  <si>
    <t>Диск колеса (передний) Yaben GY6 50/60/80 (2,15*10, 19T, 110mm, алюминиевый)</t>
  </si>
  <si>
    <t>D-75</t>
  </si>
  <si>
    <t>Диск колеса (передний) Yaben GY6-150 3,50-13" (литой)</t>
  </si>
  <si>
    <t>Z-11</t>
  </si>
  <si>
    <t>Замок зажигания (в сборе) RACE</t>
  </si>
  <si>
    <t>Z-1047</t>
  </si>
  <si>
    <t>Замок зажигания Хоккеист</t>
  </si>
  <si>
    <t>Z-30</t>
  </si>
  <si>
    <t>Защита руля Grand Prix</t>
  </si>
  <si>
    <t>Z-1020</t>
  </si>
  <si>
    <t>Звезда коленвала Yaben GY6 50/60/80/100</t>
  </si>
  <si>
    <t>Z-89</t>
  </si>
  <si>
    <t>Звезда маслонасоса Yaben GY6-125</t>
  </si>
  <si>
    <t>Z-149</t>
  </si>
  <si>
    <t>Звезда привода распредвала+ звезда маслонасоса Yaben GY6 125/150 TMMP</t>
  </si>
  <si>
    <t>Z-111</t>
  </si>
  <si>
    <t>Звёздочка маслонасоса Yaben GY6 50/60/80/100</t>
  </si>
  <si>
    <t>Z-1108</t>
  </si>
  <si>
    <t>Звезды коленвала (коплект)  Yaben GY6 50/60/80</t>
  </si>
  <si>
    <t>Z-174</t>
  </si>
  <si>
    <t>Зеркала капля чёрные ТММР</t>
  </si>
  <si>
    <t>Z-179</t>
  </si>
  <si>
    <t>Зеркала китаец карбон</t>
  </si>
  <si>
    <t>Z-181</t>
  </si>
  <si>
    <t>Зеркала китаец красные</t>
  </si>
  <si>
    <t>Z-183</t>
  </si>
  <si>
    <t>Зеркала китайцы чёрные</t>
  </si>
  <si>
    <t>K-13</t>
  </si>
  <si>
    <t>Карбюратор Yaben GY6 125 (22mm)</t>
  </si>
  <si>
    <t>K-5289</t>
  </si>
  <si>
    <t>Карбюратор Yaben GY6 150 (24mm)   TMMP</t>
  </si>
  <si>
    <t>K-40</t>
  </si>
  <si>
    <t>Карбюратор Yaben GY6 60   TMMP</t>
  </si>
  <si>
    <t>K-5388</t>
  </si>
  <si>
    <t>Картер (в сборе) Yaben GY6 50 (400mm)</t>
  </si>
  <si>
    <t>K-5212</t>
  </si>
  <si>
    <t>Катушка зажигания Yaben GY6 50-125/HONDA DIO  (без насвечника)  #Y</t>
  </si>
  <si>
    <t>K-107</t>
  </si>
  <si>
    <t>Клапана Yaben GY6 125</t>
  </si>
  <si>
    <t>K-108</t>
  </si>
  <si>
    <t>Клапана Yaben GY6 150 (5x28x65.9 / 5x23x65.4 mm)   TMMP</t>
  </si>
  <si>
    <t>K-117</t>
  </si>
  <si>
    <t>Клапана Yaben GY6 60   TMMP</t>
  </si>
  <si>
    <t>K-5402</t>
  </si>
  <si>
    <t>Клапана Yaben GY6 80   TMMP</t>
  </si>
  <si>
    <t>K-5115</t>
  </si>
  <si>
    <t>Кнопка включения аварийного сигнала GY6 50-150</t>
  </si>
  <si>
    <t>K-5116</t>
  </si>
  <si>
    <t>Кнопка включения поворотов GY6 50-150</t>
  </si>
  <si>
    <t>K-5114</t>
  </si>
  <si>
    <t>Кнопка включения света GY6 50-150</t>
  </si>
  <si>
    <t>K-5113</t>
  </si>
  <si>
    <t>Кнопка переключения света GY6 50-150 (4 контакта)</t>
  </si>
  <si>
    <t>K-5117</t>
  </si>
  <si>
    <t>Кнопка сигнала  Yaben GY 6 50/150</t>
  </si>
  <si>
    <t>K-5112</t>
  </si>
  <si>
    <t>Кнопка старта GY6 50-150</t>
  </si>
  <si>
    <t>K-137</t>
  </si>
  <si>
    <t>Кнопки Yaben GY6 60 (набор)</t>
  </si>
  <si>
    <t>K-138</t>
  </si>
  <si>
    <t>Кнопки управления   Yaben GY6 50/150 (набор)</t>
  </si>
  <si>
    <t>K-163</t>
  </si>
  <si>
    <t>Коленвал  Yaben GY6 100 ( с подшипниками)</t>
  </si>
  <si>
    <t>K-164</t>
  </si>
  <si>
    <t>Коленвал YABEN GY6 125/150</t>
  </si>
  <si>
    <t>K-5164</t>
  </si>
  <si>
    <t>Коленвал YABEN GY6 60/80</t>
  </si>
  <si>
    <t>K-179</t>
  </si>
  <si>
    <t>Коленвал Yaben GY6 80  (с подшипниками ,шатун +2mm)</t>
  </si>
  <si>
    <t>K-183</t>
  </si>
  <si>
    <t>Колено глушителя Yaben GY6 50/60/80</t>
  </si>
  <si>
    <t>K-188</t>
  </si>
  <si>
    <t>Колодки вариатора Yaben GY6 125</t>
  </si>
  <si>
    <t>K-5140</t>
  </si>
  <si>
    <t>Колодки передние дисковые Yaben GY6 125</t>
  </si>
  <si>
    <t>K-202</t>
  </si>
  <si>
    <t>Колодки тормозные барабанные Yaben GY6 150   13"</t>
  </si>
  <si>
    <t>K-201</t>
  </si>
  <si>
    <t>Колодки тормозные барабанные Yaben GY6 50/60/80   10"</t>
  </si>
  <si>
    <t>K-210</t>
  </si>
  <si>
    <t>Колодки тормозные передние   Yaben GY6  тип 1   TMMP</t>
  </si>
  <si>
    <t>K-211</t>
  </si>
  <si>
    <t>Колодки тормозные передние   Yaben GY6  тип 2   TMMP</t>
  </si>
  <si>
    <t>K-291</t>
  </si>
  <si>
    <t>Кольца  Yaben GY6 50  (Ø39.25mm)   SEE</t>
  </si>
  <si>
    <t>K-5339</t>
  </si>
  <si>
    <t>Кольца  Yaben GY6 50  (Ø39.50mm)   SEE</t>
  </si>
  <si>
    <t>K-5340</t>
  </si>
  <si>
    <t>Кольца  Yaben GY6 50  (Ø39.75mm)   SEE</t>
  </si>
  <si>
    <t>K-5341</t>
  </si>
  <si>
    <t>Кольца  Yaben GY6 50  (Ø40.00mm)   SEE</t>
  </si>
  <si>
    <t>K-295</t>
  </si>
  <si>
    <t>Кольца  Yaben GY6 50  std  (Ø39mm)   TMMP</t>
  </si>
  <si>
    <t>K-5344</t>
  </si>
  <si>
    <t>Кольца  Yaben GY6 60  (Ø44.25mm)   SEE</t>
  </si>
  <si>
    <t>K-5345</t>
  </si>
  <si>
    <t>Кольца  Yaben GY6 60  (Ø44.50mm)   SEE</t>
  </si>
  <si>
    <t>K-5346</t>
  </si>
  <si>
    <t>Кольца  Yaben GY6 60  (Ø44.75mm)   SEE</t>
  </si>
  <si>
    <t>K-5347</t>
  </si>
  <si>
    <t>Кольца  Yaben GY6 60  (Ø45.00mm)   SEE</t>
  </si>
  <si>
    <t>K-5332</t>
  </si>
  <si>
    <t>Кольца  Yaben GY6 80 0.25 (Ø47.25mm)   SEE</t>
  </si>
  <si>
    <t>K-301</t>
  </si>
  <si>
    <t>Кольца  Yaben GY6 80 0.25 (Ø47.25mm)   TMMP</t>
  </si>
  <si>
    <t>K-5333</t>
  </si>
  <si>
    <t>Кольца  Yaben GY6 80 0.50 (Ø47.50mm)   SEE</t>
  </si>
  <si>
    <t>K-302</t>
  </si>
  <si>
    <t>Кольца  Yaben GY6 80 0.50 (Ø47.50mm)   TMMP</t>
  </si>
  <si>
    <t>K-5334</t>
  </si>
  <si>
    <t>Кольца  Yaben GY6 80 0.75 (Ø47.75mm)   SEE</t>
  </si>
  <si>
    <t>K-5335</t>
  </si>
  <si>
    <t>Кольца  Yaben GY6 80 1.00 (Ø48.00mm)   SEE</t>
  </si>
  <si>
    <t>K-216</t>
  </si>
  <si>
    <t>Кольца Yaben GY6 125  0.25  (Ø52.65mm)   SEE</t>
  </si>
  <si>
    <t>K-217</t>
  </si>
  <si>
    <t>Кольца Yaben GY6 125  0.50  (Ø52.90mm)   SEE</t>
  </si>
  <si>
    <t>K-5342</t>
  </si>
  <si>
    <t>Кольца Yaben GY6 125  0.75  (Ø53.15mm)   SEE</t>
  </si>
  <si>
    <t>K-5343</t>
  </si>
  <si>
    <t>Кольца Yaben GY6 125  1.00  (Ø53.40mm)    SEE</t>
  </si>
  <si>
    <t>K-5290</t>
  </si>
  <si>
    <t>Кольца Yaben GY6 125  std  (Ø52.40mm)    TMMP</t>
  </si>
  <si>
    <t>K-219</t>
  </si>
  <si>
    <t>Кольца Yaben GY6 150  0.25  (Ø57,65mm)   SEE</t>
  </si>
  <si>
    <t>K-220</t>
  </si>
  <si>
    <t>Кольца Yaben GY6 150  0.50 (Ø57,90mm)   SEE</t>
  </si>
  <si>
    <t>K-5154</t>
  </si>
  <si>
    <t>Кольца Yaben GY6 150  0.75 (Ø58,15mm)   SEE</t>
  </si>
  <si>
    <t>K-5155</t>
  </si>
  <si>
    <t>Кольца Yaben GY6 150  1.00 (Ø58,40mm)   SEE</t>
  </si>
  <si>
    <t>K-221</t>
  </si>
  <si>
    <t>Кольца Yaben GY6 150  std  (Ø57,40mm)   TMMP</t>
  </si>
  <si>
    <t>K-369</t>
  </si>
  <si>
    <t>Коммутатор Yaben GY6 50-125  (без ограничения)   TMMP</t>
  </si>
  <si>
    <t>K-5385</t>
  </si>
  <si>
    <t>Коммутатор Yaben GY6 60 (большой)</t>
  </si>
  <si>
    <t>K-5082</t>
  </si>
  <si>
    <t>Коммутатор Yaben GY6 60 RACING</t>
  </si>
  <si>
    <t>K-5132</t>
  </si>
  <si>
    <t>Комплект замков Yaben GY6 150</t>
  </si>
  <si>
    <t>K-389</t>
  </si>
  <si>
    <t>Концевой выкл, ручного бар. тормоза без проводов</t>
  </si>
  <si>
    <t>K-5075</t>
  </si>
  <si>
    <t>Концевой выкл, ручного диск. перед. тормоза без проводов</t>
  </si>
  <si>
    <t>X-6</t>
  </si>
  <si>
    <t>Корпус багажника Grand Prix 125  (унитаз)</t>
  </si>
  <si>
    <t>K-460</t>
  </si>
  <si>
    <t>Кран топливный Yaben GY6 125/150</t>
  </si>
  <si>
    <t>K-461</t>
  </si>
  <si>
    <t>Кран топливный Yaben GY6 60   TMMP</t>
  </si>
  <si>
    <t>K-5069</t>
  </si>
  <si>
    <t>Крепление троса спидометра Yaben GY6</t>
  </si>
  <si>
    <t>K-478</t>
  </si>
  <si>
    <t>Крыло заднее RACE B-09</t>
  </si>
  <si>
    <t>K-479</t>
  </si>
  <si>
    <t>Крыло заднее WIND</t>
  </si>
  <si>
    <t>P-9062</t>
  </si>
  <si>
    <t>Крышка бака Yaben GY6 50</t>
  </si>
  <si>
    <t>K-5091</t>
  </si>
  <si>
    <t>Крышка вариатора  Yaben GY6 150</t>
  </si>
  <si>
    <t>K-497</t>
  </si>
  <si>
    <t>Крышка вариатора (длинная)  Yaben GY6 60  (430mm, серебро)</t>
  </si>
  <si>
    <t>K-498</t>
  </si>
  <si>
    <t>Крышка вариатора (длинная)  Yaben GY6 60  (430mm, чёрная)</t>
  </si>
  <si>
    <t>K-499</t>
  </si>
  <si>
    <t>Крышка вариатора (длинная)  Yaben GY6 80  (460mm)</t>
  </si>
  <si>
    <t>K-500</t>
  </si>
  <si>
    <t>Крышка вариатора (короткая)  Yaben GY6 60  (400mm, серебро)</t>
  </si>
  <si>
    <t>K-503</t>
  </si>
  <si>
    <t>Крышка вариатора Yaben GY6 125</t>
  </si>
  <si>
    <t>K-521</t>
  </si>
  <si>
    <t>Крышка картера Yaben GY6 50/60/80 с щупом</t>
  </si>
  <si>
    <t>K-536</t>
  </si>
  <si>
    <t>Крышка картера со щупом Yaben GY6 125</t>
  </si>
  <si>
    <t>L-7</t>
  </si>
  <si>
    <t>Лампа фары 12V35W35W  Yaben GY6 , JAWA  (синяя, качество)   TMMP</t>
  </si>
  <si>
    <t>L-2</t>
  </si>
  <si>
    <t>Лампа фары 12V35W35W 1 усик</t>
  </si>
  <si>
    <t>L-536</t>
  </si>
  <si>
    <t>Лампа фары 12V35W35W 3 усика (колба)</t>
  </si>
  <si>
    <t>L-71</t>
  </si>
  <si>
    <t>Лампа фары 12V35W35W Yaben GY6 , JAWA   (синяя)</t>
  </si>
  <si>
    <t>L-3</t>
  </si>
  <si>
    <t>Лампа фары 12V35W35W груша</t>
  </si>
  <si>
    <t>M-1</t>
  </si>
  <si>
    <t>Магнето  Yaben GY6 125  (на 6 катушек)</t>
  </si>
  <si>
    <t>M-15</t>
  </si>
  <si>
    <t>Магнето Yaben GY6 50</t>
  </si>
  <si>
    <t>M-28</t>
  </si>
  <si>
    <t>Маслонасос Yaben GY6 125</t>
  </si>
  <si>
    <t>M-29</t>
  </si>
  <si>
    <t>Маслонасос Yaben GY6 50/60/80</t>
  </si>
  <si>
    <t>M-49</t>
  </si>
  <si>
    <t>Механизм переднего тормоза Yaben GY6 80 гидравлика в сборе</t>
  </si>
  <si>
    <t>N-6</t>
  </si>
  <si>
    <t>Наклейки на спидометр до 60 км/ч ( обманки )</t>
  </si>
  <si>
    <t>N-23</t>
  </si>
  <si>
    <t>Направляющие клапанов Yaben GY6 125/150 TMMP</t>
  </si>
  <si>
    <t>N-5093</t>
  </si>
  <si>
    <t>Насвечник Yaben GY6</t>
  </si>
  <si>
    <t>N-27</t>
  </si>
  <si>
    <t>Насвечник Yaben GY6 50-150  (силикон, оранжевый)</t>
  </si>
  <si>
    <t>N-41</t>
  </si>
  <si>
    <t>Натяжитель цепи распредвала Yaben GY6 125/150   TMMP</t>
  </si>
  <si>
    <t>N-1013</t>
  </si>
  <si>
    <t>Натяжитель цепи распредвала Yaben GY6 50</t>
  </si>
  <si>
    <t>N-60</t>
  </si>
  <si>
    <t>Ножка кикстартера   Yaben GY6 125/150 хром</t>
  </si>
  <si>
    <t>N-61</t>
  </si>
  <si>
    <t>Ножка кикстартера   Yaben GY6 125/150 чёрная</t>
  </si>
  <si>
    <t>N-69</t>
  </si>
  <si>
    <t>Ножка кикстартера Yaben GY6 50/60/80 (хром, круглая)</t>
  </si>
  <si>
    <t>N-5181</t>
  </si>
  <si>
    <t>Ножка кикстартера Yaben GY6 50/60/80 (хром, плоская)</t>
  </si>
  <si>
    <t>N-70</t>
  </si>
  <si>
    <t>Ножка кикстартера Yaben GY6 50/60/80 (чёрная, круглая)</t>
  </si>
  <si>
    <t>N-5185</t>
  </si>
  <si>
    <t>Ножка кикстартера Yaben GY6 50/60/80 (чёрная, плоская)</t>
  </si>
  <si>
    <t>O-35</t>
  </si>
  <si>
    <t>Ось рокеров Yaben GY6 125/150 ( пара )</t>
  </si>
  <si>
    <t>P-11</t>
  </si>
  <si>
    <t>Палец переднего вариатора   Yaben GY6 125/150</t>
  </si>
  <si>
    <t>P-9693</t>
  </si>
  <si>
    <t>Панель приборов RACE (карбон , 120 км)</t>
  </si>
  <si>
    <t>P-18</t>
  </si>
  <si>
    <t>Панель приборов RACE B-08 с часами</t>
  </si>
  <si>
    <t>P-24</t>
  </si>
  <si>
    <t>Панель приборов TIGER (чёрные)</t>
  </si>
  <si>
    <t>S-133</t>
  </si>
  <si>
    <t>Панель приборов WIND (120км)</t>
  </si>
  <si>
    <t>P-28</t>
  </si>
  <si>
    <t>Патрубок воздушного фильтра  Yaben GY6 150  (хобот)</t>
  </si>
  <si>
    <t>P-30</t>
  </si>
  <si>
    <t>Патрубок воздушного фильтра Yaben GY6 50/60/80</t>
  </si>
  <si>
    <t>P-31</t>
  </si>
  <si>
    <t>Патрубок карбюратора  Yaben GY6 125/150</t>
  </si>
  <si>
    <t>P-41</t>
  </si>
  <si>
    <t>Патрубок карбюратора Yaben GY6 50/60/80</t>
  </si>
  <si>
    <t>P-51</t>
  </si>
  <si>
    <t>Переключатель руля Yaben GY6 50 RACE (левый+правый)</t>
  </si>
  <si>
    <t>P-84</t>
  </si>
  <si>
    <t>Пластик бензобака  Yaben GY6 R2</t>
  </si>
  <si>
    <t>P-9731</t>
  </si>
  <si>
    <t>Пластик боковой (задний) Yaben GY6 STORM</t>
  </si>
  <si>
    <t>P-88</t>
  </si>
  <si>
    <t>Пластик боковой задний   Yaben GY6 R2</t>
  </si>
  <si>
    <t>P-9714</t>
  </si>
  <si>
    <t>Пластик боковой задний  (красный) B-09</t>
  </si>
  <si>
    <t>P-89</t>
  </si>
  <si>
    <t>Пластик боковой задний Yaben GY6 R1</t>
  </si>
  <si>
    <t>P-90</t>
  </si>
  <si>
    <t>Пластик боковой задний Yaben GY6 R3</t>
  </si>
  <si>
    <t>P-9586</t>
  </si>
  <si>
    <t>Пластик генератора Yaben GY6 125/150</t>
  </si>
  <si>
    <t>P-9735</t>
  </si>
  <si>
    <t>Пластик задний боковой (серый) Yaben GY 6 50</t>
  </si>
  <si>
    <t>P-93</t>
  </si>
  <si>
    <t>Пластик нижний  Yaben GY6 R2</t>
  </si>
  <si>
    <t>P-83</t>
  </si>
  <si>
    <t>Пластик нижний Yaben GY6 STORM</t>
  </si>
  <si>
    <t>P-9036</t>
  </si>
  <si>
    <t>Пластик обдува Yaben GY6 125 к-т</t>
  </si>
  <si>
    <t>P-94</t>
  </si>
  <si>
    <t>Пластик обдува Yaben GY6 60 к-т</t>
  </si>
  <si>
    <t>P-105</t>
  </si>
  <si>
    <t>Пластик панели приборов верхний (накладка на клюв)  Yaben GY6 STORM</t>
  </si>
  <si>
    <t>P-9716</t>
  </si>
  <si>
    <t>Пластик передний (под фару, красный) B-08 (TIGER)</t>
  </si>
  <si>
    <t>P-9715</t>
  </si>
  <si>
    <t>Пластик передний (под фару, красный) B-09 (TIGER)</t>
  </si>
  <si>
    <t>P-99</t>
  </si>
  <si>
    <t>Пластик передний Grand Prix</t>
  </si>
  <si>
    <t>P-96</t>
  </si>
  <si>
    <t>Пластик передний Yaben GY6 R1</t>
  </si>
  <si>
    <t>P-97</t>
  </si>
  <si>
    <t>Пластик передний Yaben GY6 R2</t>
  </si>
  <si>
    <t>P-100</t>
  </si>
  <si>
    <t>Пластик передний Yaben GY6 R3</t>
  </si>
  <si>
    <t>P-101</t>
  </si>
  <si>
    <t>Пластик передний Yaben GY6 STORM</t>
  </si>
  <si>
    <t>P-102</t>
  </si>
  <si>
    <t>Пластик передний боковой  Yaben GY6 STORM</t>
  </si>
  <si>
    <t>P-103</t>
  </si>
  <si>
    <t>Пластик передний боковой Grand Prix к-т</t>
  </si>
  <si>
    <t>P-9733</t>
  </si>
  <si>
    <t>Пластик руля Yaben GY6 STORM</t>
  </si>
  <si>
    <t>P-9681</t>
  </si>
  <si>
    <t>Повороты задние  Grand Prix</t>
  </si>
  <si>
    <t>P-9727</t>
  </si>
  <si>
    <t>Повороты задние R3  (желтое стекло, 2шт)</t>
  </si>
  <si>
    <t>F-135</t>
  </si>
  <si>
    <t>Повороты задние RACE B-09 (2шт)</t>
  </si>
  <si>
    <t>F-158</t>
  </si>
  <si>
    <t>Повороты передние  Grand Prix</t>
  </si>
  <si>
    <t>F-149</t>
  </si>
  <si>
    <t>Повороты передние R3</t>
  </si>
  <si>
    <t>P-9718</t>
  </si>
  <si>
    <t>Повороты передние R3 (затемнённое стекло, 2шт)</t>
  </si>
  <si>
    <t>F-150</t>
  </si>
  <si>
    <t>Повороты передние RACE B-09 ( пара 2 штуки )</t>
  </si>
  <si>
    <t>F-151</t>
  </si>
  <si>
    <t>Повороты передние Yaben GY6 R2</t>
  </si>
  <si>
    <t>F-125</t>
  </si>
  <si>
    <t>Повороты передние Yaben GY6 STORM</t>
  </si>
  <si>
    <t>P-9734</t>
  </si>
  <si>
    <t>Подкрылок заднего колеса (передний) Yaben GY6 STORM</t>
  </si>
  <si>
    <t>P-134</t>
  </si>
  <si>
    <t>Подшипник 6300-2RS</t>
  </si>
  <si>
    <t>P-9014</t>
  </si>
  <si>
    <t>Подшипник 6902 ZZ (заднего вариатора)  Yaben GY6 125/150</t>
  </si>
  <si>
    <t>P-154</t>
  </si>
  <si>
    <t>Подшипник руля  STORM</t>
  </si>
  <si>
    <t>P-155</t>
  </si>
  <si>
    <t>Подшипник руля  WIND</t>
  </si>
  <si>
    <t>P-158</t>
  </si>
  <si>
    <t>Подшипник руля Grand Prix/TIGER/Хоккеист   TMMP</t>
  </si>
  <si>
    <t>P-157</t>
  </si>
  <si>
    <t>Подшипник руля RACE</t>
  </si>
  <si>
    <t>P-333</t>
  </si>
  <si>
    <t>Поршень (в сборе) Yaben GY6 100  0.50 (Ø50.50mm)   SEE</t>
  </si>
  <si>
    <t>P-334</t>
  </si>
  <si>
    <t>Поршень (в сборе) Yaben GY6 100  0.75 (Ø50.75mm)   SEE</t>
  </si>
  <si>
    <t>P-9652</t>
  </si>
  <si>
    <t>Поршень (в сборе) Yaben GY6 100  1.00 (Ø51.00mm)   SEE</t>
  </si>
  <si>
    <t>P-307</t>
  </si>
  <si>
    <t>Поршень (в сборе) Yaben GY6 100  std (Ø50.00mm)   TMMP</t>
  </si>
  <si>
    <t>P-3075</t>
  </si>
  <si>
    <t>Поршень (в сборе) Yaben GY6 100  std (Ø50.00mm)   TMMP   TEFLON</t>
  </si>
  <si>
    <t>P-9650</t>
  </si>
  <si>
    <t>Поршень (в сборе) Yaben GY6 100  std (Ø50.00mm)   TNT</t>
  </si>
  <si>
    <t>P-171</t>
  </si>
  <si>
    <t>Поршень (в сборе) Yaben GY6 125  0.25 (Ø52.65mm)   SEE</t>
  </si>
  <si>
    <t>P-172</t>
  </si>
  <si>
    <t>Поршень (в сборе) Yaben GY6 125  0.50 (Ø52.90mm)   SEE</t>
  </si>
  <si>
    <t>P-173</t>
  </si>
  <si>
    <t>Поршень (в сборе) Yaben GY6 125  0.75 (Ø53.15mm)   SEE</t>
  </si>
  <si>
    <t>P-174</t>
  </si>
  <si>
    <t>Поршень (в сборе) Yaben GY6 125  1.00 (Ø53.40mm)   SEE</t>
  </si>
  <si>
    <t>P-9729</t>
  </si>
  <si>
    <t>Поршень (в сборе) Yaben GY6 150  0.25 (Ø57.65mm)   SEE</t>
  </si>
  <si>
    <t>P-176</t>
  </si>
  <si>
    <t>Поршень (в сборе) Yaben GY6 150  0.25 (Ø57.65mm)   TMMP</t>
  </si>
  <si>
    <t>P-177</t>
  </si>
  <si>
    <t>Поршень (в сборе) Yaben GY6 150  0.25 (Ø57.65mm)   TMMP  TEFLON</t>
  </si>
  <si>
    <t>P-179</t>
  </si>
  <si>
    <t>Поршень (в сборе) Yaben GY6 150  0.75 (Ø58.15mm)   SEE</t>
  </si>
  <si>
    <t>P-180</t>
  </si>
  <si>
    <t>Поршень (в сборе) Yaben GY6 150  1.00 (Ø58.40mm)   SEE</t>
  </si>
  <si>
    <t>P-9653</t>
  </si>
  <si>
    <t>Поршень (в сборе) Yaben GY6 150  std (Ø57.40mm)   EVO</t>
  </si>
  <si>
    <t>P-181</t>
  </si>
  <si>
    <t>Поршень (в сборе) Yaben GY6 150  std (Ø57.40mm)   TMMP</t>
  </si>
  <si>
    <t>P-182</t>
  </si>
  <si>
    <t>Поршень (в сборе) Yaben GY6 150  std (Ø57.40mm)   TMMP  TEFLON</t>
  </si>
  <si>
    <t>P-337</t>
  </si>
  <si>
    <t>Поршень (в сборе) Yaben GY6 50  0.25 (Ø39.25mm)   SEE</t>
  </si>
  <si>
    <t>P-9674</t>
  </si>
  <si>
    <t>Поршень (в сборе) Yaben GY6 50  0.25 (Ø39.25mm)   TMMP</t>
  </si>
  <si>
    <t>P-3072</t>
  </si>
  <si>
    <t>Поршень (в сборе) Yaben GY6 50  0.25 (Ø39.25mm)  WHV</t>
  </si>
  <si>
    <t>P-3073</t>
  </si>
  <si>
    <t>Поршень (в сборе) Yaben GY6 50  0.50  (Ø39.50mm)   TMMP</t>
  </si>
  <si>
    <t>P-338</t>
  </si>
  <si>
    <t>Поршень (в сборе) Yaben GY6 50  0.50 (Ø39.50mm)   SEE</t>
  </si>
  <si>
    <t>P-339</t>
  </si>
  <si>
    <t>Поршень (в сборе) Yaben GY6 50  0.75 (Ø39.75mm)   SEE</t>
  </si>
  <si>
    <t>P-340</t>
  </si>
  <si>
    <t>Поршень (в сборе) Yaben GY6 50  1.00 (Ø40.00mm)   SEE</t>
  </si>
  <si>
    <t>P-3071</t>
  </si>
  <si>
    <t>Поршень (в сборе) Yaben GY6 50  std  (Ø39.00mm)   TMMP</t>
  </si>
  <si>
    <t>P-342</t>
  </si>
  <si>
    <t>Поршень (в сборе) Yaben GY6 60  0.25 (Ø44.25mm)   SEE</t>
  </si>
  <si>
    <t>P-343</t>
  </si>
  <si>
    <t>Поршень (в сборе) Yaben GY6 60  0.50 (Ø44.50mm)   SEE</t>
  </si>
  <si>
    <t>P-344</t>
  </si>
  <si>
    <t>Поршень (в сборе) Yaben GY6 60  0.75 (Ø44.75mm)   SEE</t>
  </si>
  <si>
    <t>P-345</t>
  </si>
  <si>
    <t>Поршень (в сборе) Yaben GY6 60  1.00 (Ø45.00mm)   SEE</t>
  </si>
  <si>
    <t>P-9667</t>
  </si>
  <si>
    <t>Поршень (в сборе) Yaben GY6 60  std (Ø44.00mm)   TMMP</t>
  </si>
  <si>
    <t>P-9668</t>
  </si>
  <si>
    <t>Поршень (в сборе) Yaben GY6 60  std (Ø44.00mm)   WHV</t>
  </si>
  <si>
    <t>P-309</t>
  </si>
  <si>
    <t>Поршень (в сборе) Yaben GY6 80  0.25  (Ø47.25mm)   TMMP  TEFLON</t>
  </si>
  <si>
    <t>P-9661</t>
  </si>
  <si>
    <t>Поршень (в сборе) Yaben GY6 80  0.25 (Ø47.25mm)   YOG (без колец)</t>
  </si>
  <si>
    <t>P-9662</t>
  </si>
  <si>
    <t>Поршень (в сборе) Yaben GY6 80  0.50 (Ø47.50mm)   YOG (без колец)</t>
  </si>
  <si>
    <t>P-347</t>
  </si>
  <si>
    <t>Поршень (в сборе) Yaben GY6 80  0.75 (Ø47.75mm)   SEE</t>
  </si>
  <si>
    <t>P-9663</t>
  </si>
  <si>
    <t>Поршень (в сборе) Yaben GY6 80  0.75 (Ø47.75mm)   YOG (без колец)</t>
  </si>
  <si>
    <t>P-349</t>
  </si>
  <si>
    <t>Поршень (в сборе) Yaben GY6 80  1.00 (Ø48.00mm)   SEE</t>
  </si>
  <si>
    <t>P-9510</t>
  </si>
  <si>
    <t>Поршень (в сборе) Yaben GY6 80  std (Ø47.00mm)   EVO</t>
  </si>
  <si>
    <t>P-312</t>
  </si>
  <si>
    <t>Поршень (в сборе) Yaben GY6 80  std (Ø47.00mm)   TMMP</t>
  </si>
  <si>
    <t>P-311</t>
  </si>
  <si>
    <t>Поршень (в сборе) Yaben GY6 80  std (Ø47.00mm)   TММР  ТEFLON</t>
  </si>
  <si>
    <t>P-455</t>
  </si>
  <si>
    <t>Постель распредвала Yaben GY6 125/150 голая</t>
  </si>
  <si>
    <t>P-9007</t>
  </si>
  <si>
    <t>Постель распредвала Yaben GY6 50/60/80   EVO</t>
  </si>
  <si>
    <t>P-9587</t>
  </si>
  <si>
    <t>Постель распредвала с рокерами Yaben GY6 125/150</t>
  </si>
  <si>
    <t>P-9511</t>
  </si>
  <si>
    <t>Привод спидометра Yaben GY6 80</t>
  </si>
  <si>
    <t>P-506</t>
  </si>
  <si>
    <t>Пробка слива масла Yaben GY6 50/60/80</t>
  </si>
  <si>
    <t>P-519</t>
  </si>
  <si>
    <t>Прокладка глушителя Yaben GY6 125/150 (D=30mm, d=23mm)</t>
  </si>
  <si>
    <t>P-528</t>
  </si>
  <si>
    <t>Прокладка крышки клапанов  Yaben GY6 125/150</t>
  </si>
  <si>
    <t>P-550</t>
  </si>
  <si>
    <t>Прокладки двигателя (комплект)  Yaben GY6 100  (400mm)   TMMP</t>
  </si>
  <si>
    <t>P-542</t>
  </si>
  <si>
    <t>Прокладки двигателя (комплект)  Yaben GY6 100  (430mm)   TMMP</t>
  </si>
  <si>
    <t>P-543</t>
  </si>
  <si>
    <t>Прокладки двигателя (комплект)  Yaben GY6 125    TMMP</t>
  </si>
  <si>
    <t>P-544</t>
  </si>
  <si>
    <t>Прокладки двигателя (комплект)  Yaben GY6 150    TMMP</t>
  </si>
  <si>
    <t>P-545</t>
  </si>
  <si>
    <t>Прокладки двигателя (комплект)  Yaben GY6 50   TMMP</t>
  </si>
  <si>
    <t>P-546</t>
  </si>
  <si>
    <t>Прокладки двигателя (комплект)  Yaben GY6 60   TMMP</t>
  </si>
  <si>
    <t>P-547</t>
  </si>
  <si>
    <t>Прокладки двигателя (комплект)  Yaben GY6 80  (400mm)   TMMP</t>
  </si>
  <si>
    <t>P-549</t>
  </si>
  <si>
    <t>Прокладки двигателя (комплект)  Yaben GY6 80  (460mm)   TMMP</t>
  </si>
  <si>
    <t>P-569</t>
  </si>
  <si>
    <t>Прокладки цилиндра (комплект)  Yaben GY6 100  TMMP</t>
  </si>
  <si>
    <t>P-9037</t>
  </si>
  <si>
    <t>Прокладки цилиндра (комплект)  Yaben GY6 125   GASKET</t>
  </si>
  <si>
    <t>P-570</t>
  </si>
  <si>
    <t>Прокладки цилиндра (комплект)  Yaben GY6 125   TMMP</t>
  </si>
  <si>
    <t>P-5301</t>
  </si>
  <si>
    <t>Прокладки цилиндра (комплект)  Yaben GY6 125  (малый)   TMMP</t>
  </si>
  <si>
    <t>P-571</t>
  </si>
  <si>
    <t>Прокладки цилиндра (комплект)  Yaben GY6 150   TMMP</t>
  </si>
  <si>
    <t>P-572</t>
  </si>
  <si>
    <t>Прокладки цилиндра (комплект)  Yaben GY6 50   TMMP</t>
  </si>
  <si>
    <t>P-9045</t>
  </si>
  <si>
    <t>Прокладки цилиндра (комплект)  Yaben GY6 60   GASKET</t>
  </si>
  <si>
    <t>P-9706</t>
  </si>
  <si>
    <t>Прокладки цилиндра (комплект)  Yaben GY6 60   TMMP</t>
  </si>
  <si>
    <t>P-531</t>
  </si>
  <si>
    <t>Прокладки цилиндра (комплект)  Yaben GY6 80   GASKET</t>
  </si>
  <si>
    <t>P-573</t>
  </si>
  <si>
    <t>Прокладки цилиндра (комплект)  Yaben GY6 80   TMMP</t>
  </si>
  <si>
    <t>P-597</t>
  </si>
  <si>
    <t>Пружина ножки кикстартера Yaben GY6 125/150</t>
  </si>
  <si>
    <t>P-9566</t>
  </si>
  <si>
    <t>Пружина ножки кикстартера Yaben GY6 60</t>
  </si>
  <si>
    <t>P-616</t>
  </si>
  <si>
    <t>Пружины клапанов  Yaben GY6 50/60/80/125/150/DELTA ( к-т 4 штуки )</t>
  </si>
  <si>
    <t>R-4</t>
  </si>
  <si>
    <t>Распредвал (в сборе) Yaben GY6 125 (со звездой)   TMMP</t>
  </si>
  <si>
    <t>R-3</t>
  </si>
  <si>
    <t>Распредвал (в сборе) Yaben GY6 50/60/80 (со звездой)</t>
  </si>
  <si>
    <t>R-6</t>
  </si>
  <si>
    <t>Редуктор (в сборе) Yaben GY6 60 длинный вал</t>
  </si>
  <si>
    <t>R-7</t>
  </si>
  <si>
    <t>Редуктор (в сборе) Yaben GY6 60 короткий вал</t>
  </si>
  <si>
    <t>R-20</t>
  </si>
  <si>
    <t>Редуктор стартера  Yaben GY6 125/150</t>
  </si>
  <si>
    <t>R-1018</t>
  </si>
  <si>
    <t>Резинка пластика обдува Yaben 125</t>
  </si>
  <si>
    <t>R-47</t>
  </si>
  <si>
    <t>Реле поворотов Yaben GY6 с сигналом под фишку (3 провода)   TMMP</t>
  </si>
  <si>
    <t>R-42</t>
  </si>
  <si>
    <t>Реле поворотов Yaben GY60</t>
  </si>
  <si>
    <t>R-53</t>
  </si>
  <si>
    <t>Реле стартера Yaben GY6 50-150  TMMP</t>
  </si>
  <si>
    <t>R-59</t>
  </si>
  <si>
    <t>Реле тока Yaben GY6 125</t>
  </si>
  <si>
    <t>R-61</t>
  </si>
  <si>
    <t>Реле тока Yaben GY6 125/150  (4 фишки контакта)   TMMP</t>
  </si>
  <si>
    <t>R-1009</t>
  </si>
  <si>
    <t>Реле тока Yaben GY6 150  (7 контактов 2 фишки)   TMMP</t>
  </si>
  <si>
    <t>R-72</t>
  </si>
  <si>
    <t>Реле тока Yaben GY6 50/60/80</t>
  </si>
  <si>
    <t>R-1112</t>
  </si>
  <si>
    <t>Ремень вариатора 668*16,5</t>
  </si>
  <si>
    <t>R-1072</t>
  </si>
  <si>
    <t>Ремень вариатора 669*18*30   POWERLINK</t>
  </si>
  <si>
    <t>R-86</t>
  </si>
  <si>
    <t>Ремень вариатора 669*18*30   TMMP</t>
  </si>
  <si>
    <t>R-88</t>
  </si>
  <si>
    <t>Ремень вариатора 710*17,5*30   TMMP</t>
  </si>
  <si>
    <t>R-1109</t>
  </si>
  <si>
    <t>Ремень вариатора 730   CAYKO</t>
  </si>
  <si>
    <t>R-1036</t>
  </si>
  <si>
    <t>Ремень вариатора 743*20*30  TMMP</t>
  </si>
  <si>
    <t>R-81</t>
  </si>
  <si>
    <t>Ремень вариатора 840*20,5*30   Yaben GY6 150   TMMP</t>
  </si>
  <si>
    <t>R-1110</t>
  </si>
  <si>
    <t>Ремень вариатора 842   YOG</t>
  </si>
  <si>
    <t>R-1095</t>
  </si>
  <si>
    <t>Ремень вариатора 845*20*30   TMMP</t>
  </si>
  <si>
    <t>R-105</t>
  </si>
  <si>
    <t>Ремкомплект карбюратора Yaben GY6 125</t>
  </si>
  <si>
    <t>R-106</t>
  </si>
  <si>
    <t>Ремкомплект карбюратора Yaben GY6 125  (+диафрагма)</t>
  </si>
  <si>
    <t>R-1114</t>
  </si>
  <si>
    <t>Ремкомплект карбюратора Yaben GY6 125 (без поплавка)</t>
  </si>
  <si>
    <t>R-107</t>
  </si>
  <si>
    <t>Ремкомплект карбюратора Yaben GY6 150</t>
  </si>
  <si>
    <t>R-124</t>
  </si>
  <si>
    <t>Ремкомплект карбюратора Yaben GY6 80</t>
  </si>
  <si>
    <t>R-1094</t>
  </si>
  <si>
    <t>Ремкомплект карбюратора Yaben GY6 80 (+диафрагма)</t>
  </si>
  <si>
    <t>K-410</t>
  </si>
  <si>
    <t>Рокера распредвала  Yaben GY6 125/150</t>
  </si>
  <si>
    <t>R-141</t>
  </si>
  <si>
    <t>Рокера распредвала Yaben GY6 50/60/80  (2шт)</t>
  </si>
  <si>
    <t>R-1029</t>
  </si>
  <si>
    <t>Ролики вариатора  Yaben GY6 50  (4.5г)   TMMP</t>
  </si>
  <si>
    <t>R-144</t>
  </si>
  <si>
    <t>Ролики вариатора Yaben GY6 125  (12,5г)   TMMP</t>
  </si>
  <si>
    <t>R-1028</t>
  </si>
  <si>
    <t>Ролики вариатора Yaben GY6 125  (14г)</t>
  </si>
  <si>
    <t>R-1027</t>
  </si>
  <si>
    <t>Ролики вариатора Yaben GY6 125  (6г)   TMMP</t>
  </si>
  <si>
    <t>R-1045</t>
  </si>
  <si>
    <t>Ролики вариатора Yaben GY6 125  (8г)   TMMP</t>
  </si>
  <si>
    <t>R-151</t>
  </si>
  <si>
    <t>Ролики вариатора Yaben GY6 50-100   TMMP</t>
  </si>
  <si>
    <t>R-1017</t>
  </si>
  <si>
    <t>Руль TIGER</t>
  </si>
  <si>
    <t>R-1024</t>
  </si>
  <si>
    <t>Ручки выжимные руля "рыбки" Yaben GY6 50 (чёрные)</t>
  </si>
  <si>
    <t>R-194</t>
  </si>
  <si>
    <t>Ручки руля Yaben GY6 60 резиновые</t>
  </si>
  <si>
    <t>S-3</t>
  </si>
  <si>
    <t>Сайлентблок амортизатора Yaben GY6 50/60/80   20*8mm (1шт)   TMMP</t>
  </si>
  <si>
    <t>S-5295</t>
  </si>
  <si>
    <t>Сайлентблок двигателя Yaben GY6 50-150/HONDA DIO 50   (Ø10x28xH22/20)    (пара)</t>
  </si>
  <si>
    <t>S-9</t>
  </si>
  <si>
    <t>Сайлентблок двигателя Yaben GY6 50/60/80 Ø10.3x30xH29.5  (компл. 2шт)</t>
  </si>
  <si>
    <t>S-8</t>
  </si>
  <si>
    <t>Сайлентблок двигателя Yaben GY6 50/60/80 Ø10x30xH34,5</t>
  </si>
  <si>
    <t>S-22</t>
  </si>
  <si>
    <t>Сальники Yaben GY6 125 (комплект)   TMMP</t>
  </si>
  <si>
    <t>S-29</t>
  </si>
  <si>
    <t>Сальники Yaben GY6 50/60/80  (комплект)   TMMP</t>
  </si>
  <si>
    <t>S-34</t>
  </si>
  <si>
    <t>Сальники клапанов (комплект) Yaben GY6 50-150   TMMP</t>
  </si>
  <si>
    <t>S-66</t>
  </si>
  <si>
    <t>Сектор кикстартера Yaben GY6 125/150cc  L-130мм в сборе   TMMP</t>
  </si>
  <si>
    <t>S-5229</t>
  </si>
  <si>
    <t>Сектор кикстартера Yaben GY6 125/150cc  L-147мм в сборе   TMMP</t>
  </si>
  <si>
    <t>S-68</t>
  </si>
  <si>
    <t>Сектор кикстартера Yaben GY6 125/150cc  L-157мм в сборе   TMMP</t>
  </si>
  <si>
    <t>S-5635</t>
  </si>
  <si>
    <t>Сектор кикстартера Yaben GY6 80 для 8 зуб , L=46mm   TMMP</t>
  </si>
  <si>
    <t>S-5235</t>
  </si>
  <si>
    <t>Сектор кикстартера Yaben GY6 80 для 8 зуб , L=46mm  в сборе с пружиной</t>
  </si>
  <si>
    <t>S-70</t>
  </si>
  <si>
    <t>Сектор кикстартера Yaben GY6 80 для 8 зуб , L=56mm   TMMP</t>
  </si>
  <si>
    <t>S-71</t>
  </si>
  <si>
    <t>Сектор кикстартера Yaben GY6 80 для 8 зуб , L=63mm  TMMP</t>
  </si>
  <si>
    <t>S-5349</t>
  </si>
  <si>
    <t>Сектор кикстартера Yaben GY6 80 для 8 зуб , L=63mm  в сборе с пружиной   HCH</t>
  </si>
  <si>
    <t>S-112</t>
  </si>
  <si>
    <t>Сиденье  Yaben GY6 " VIPER RACE "</t>
  </si>
  <si>
    <t>S-113</t>
  </si>
  <si>
    <t>Сиденье  Yaben GY6 " VIPER STORM "  (нового образца)</t>
  </si>
  <si>
    <t>S-117</t>
  </si>
  <si>
    <t>Сиденье Yaben GY6 " VIPER WIND "</t>
  </si>
  <si>
    <t>S-118</t>
  </si>
  <si>
    <t>Сиденье Yaben GY6 "VIPER Grand Prix "</t>
  </si>
  <si>
    <t>S-126</t>
  </si>
  <si>
    <t>Скользитель вариатора Yaben GY6 125 к-т 3 штуки</t>
  </si>
  <si>
    <t>S-5204</t>
  </si>
  <si>
    <t>Скользитель вариатора Yaben GY6 50 к-т 3 штуки</t>
  </si>
  <si>
    <t>S-5202</t>
  </si>
  <si>
    <t>Стартер  Yaben GY6 50/60/80</t>
  </si>
  <si>
    <t>S-157</t>
  </si>
  <si>
    <t>Стартер Yaben GY6 125/150   TMMP</t>
  </si>
  <si>
    <t>S-5335</t>
  </si>
  <si>
    <t>Стекло стопа  Yaben GY6 STORM (без поворотов)</t>
  </si>
  <si>
    <t>F-167</t>
  </si>
  <si>
    <t>Стоп (в сборе) Grand Prix</t>
  </si>
  <si>
    <t>F-170</t>
  </si>
  <si>
    <t>Стоп (в сборе) R1</t>
  </si>
  <si>
    <t>S-217</t>
  </si>
  <si>
    <t>Съёмник магнето Yaben GY6 125/150</t>
  </si>
  <si>
    <t>S-219</t>
  </si>
  <si>
    <t>Съёмник магнето Yaben GY6 60</t>
  </si>
  <si>
    <t>T-13</t>
  </si>
  <si>
    <t>Текстолитовая прокладка карбюратора Yaben GY6 125/150</t>
  </si>
  <si>
    <t>T-1015</t>
  </si>
  <si>
    <t>Текстолитовая прокладка карбюратора Yaben GY6 50/60/80   TMMP</t>
  </si>
  <si>
    <t>T-17</t>
  </si>
  <si>
    <t>Термоклапан карбюратора Yaben GY6 125/150</t>
  </si>
  <si>
    <t>T-18</t>
  </si>
  <si>
    <t>Термоклапан карбюратора Yaben GY6 50/60/80</t>
  </si>
  <si>
    <t>T-1011</t>
  </si>
  <si>
    <t>Траверса руля RACE</t>
  </si>
  <si>
    <t>T-1010</t>
  </si>
  <si>
    <t>Траверса руля STORM</t>
  </si>
  <si>
    <t>T-1004</t>
  </si>
  <si>
    <t>Траверса руля WIND</t>
  </si>
  <si>
    <t>T-1014</t>
  </si>
  <si>
    <t>Треугольник вариатора Yaben GY6 60   TMMP</t>
  </si>
  <si>
    <t>T-45</t>
  </si>
  <si>
    <t>Трос газа Yaben GY6 125 (L=1940mm)   TMMP</t>
  </si>
  <si>
    <t>T-46</t>
  </si>
  <si>
    <t>Трос газа Yaben GY6 150 (L=2080mm)   TMMP</t>
  </si>
  <si>
    <t>T-47</t>
  </si>
  <si>
    <t>Трос газа Yaben GY6 60 (L=1920mm)   TMMP</t>
  </si>
  <si>
    <t>T-58</t>
  </si>
  <si>
    <t>Трос заднего тормоза Yaben GY6 125 (L=1940mm)   TMMP</t>
  </si>
  <si>
    <t>T-59</t>
  </si>
  <si>
    <t>Трос заднего тормоза Yaben GY6 125/150   TMMP</t>
  </si>
  <si>
    <t>T-71</t>
  </si>
  <si>
    <t>Трос переднего тормоза Yaben GY6 125/150</t>
  </si>
  <si>
    <t>T-72</t>
  </si>
  <si>
    <t>Трос переднего тормоза Yaben GY6 50 (L=1360mm)   TMMP</t>
  </si>
  <si>
    <t>T-1020</t>
  </si>
  <si>
    <t>Трос сиденья  Yaben 50-150   (L-1900mm)</t>
  </si>
  <si>
    <t>T-79</t>
  </si>
  <si>
    <t>Трос сиденья Yaben GY6 60 (L=320mm)</t>
  </si>
  <si>
    <t>T-93</t>
  </si>
  <si>
    <t>Трос спидометра Yaben GY6 125/150 (L=875mm)  TMMP</t>
  </si>
  <si>
    <t>T-83</t>
  </si>
  <si>
    <t>Трос спидометра Yaben GY6 50 барабан. тормоз (L=975mm)</t>
  </si>
  <si>
    <t>T-94</t>
  </si>
  <si>
    <t>Трос спидометра Yaben GY6 60  диск. тормоз (L=1000mm)   TMMP</t>
  </si>
  <si>
    <t>U-6</t>
  </si>
  <si>
    <t>Успокоитель цепи распредвала Yaben GY 6 125/150  ( лыжи )   TMMP</t>
  </si>
  <si>
    <t>U-5</t>
  </si>
  <si>
    <t>Успокоитель цепи распредвала Yaben GY6 60 ( лыжи )   TMMP</t>
  </si>
  <si>
    <t>F-2</t>
  </si>
  <si>
    <t>Фара  STORM</t>
  </si>
  <si>
    <t>F-1</t>
  </si>
  <si>
    <t>Фара (в сборе) Grand Prix</t>
  </si>
  <si>
    <t>F-15</t>
  </si>
  <si>
    <t>Фара (в сборе) TIGER/RACE</t>
  </si>
  <si>
    <t>F-1105</t>
  </si>
  <si>
    <t>Фара (голая) Grand Prix</t>
  </si>
  <si>
    <t>F-5</t>
  </si>
  <si>
    <t>Фара R1</t>
  </si>
  <si>
    <t>F-10</t>
  </si>
  <si>
    <t>Фара WIND</t>
  </si>
  <si>
    <t>F-11</t>
  </si>
  <si>
    <t>Фара Yaben GY6 R2</t>
  </si>
  <si>
    <t>K-436</t>
  </si>
  <si>
    <t>Фильтр воздушный (в сборе) Yaben GY6 125</t>
  </si>
  <si>
    <t>K-423</t>
  </si>
  <si>
    <t>Фильтр воздушный (в сборе) Yaben GY6 125/150 старого образца</t>
  </si>
  <si>
    <t>K-424</t>
  </si>
  <si>
    <t>Фильтр воздушный (в сборе) Yaben GY6 150</t>
  </si>
  <si>
    <t>K-425</t>
  </si>
  <si>
    <t>Фильтр воздушный (в сборе) Yaben GY6 50 для 10" колеса</t>
  </si>
  <si>
    <t>K-426</t>
  </si>
  <si>
    <t>Фильтр воздушный (в сборе) Yaben GY6 50 для 12" колеса</t>
  </si>
  <si>
    <t>K-427</t>
  </si>
  <si>
    <t>Фильтр воздушный (в сборе) Yaben GY6 60 10" (c хоботом)</t>
  </si>
  <si>
    <t>K-428</t>
  </si>
  <si>
    <t>Фильтр воздушный (в сборе) Yaben GY6 80 для 12" колеса  (бумажный фильтр)</t>
  </si>
  <si>
    <t>F-1024</t>
  </si>
  <si>
    <t>Фишка коммутатора  Yaben GY6 50/150</t>
  </si>
  <si>
    <t>U-1006</t>
  </si>
  <si>
    <t>Холдер (улитка) троса газа Yaben GY6 50/60/80</t>
  </si>
  <si>
    <t>H-3</t>
  </si>
  <si>
    <t>Храповик Yaben GY6 125/150   TMMP</t>
  </si>
  <si>
    <t>H-4</t>
  </si>
  <si>
    <t>Храповик Yaben GY6 60  7 зуб   TMMP</t>
  </si>
  <si>
    <t>H-5</t>
  </si>
  <si>
    <t>Храповик Yaben GY6 60  8 зуб   TMMP</t>
  </si>
  <si>
    <t>C-42</t>
  </si>
  <si>
    <t>Цепь распредвала Yaben GY6 125/150 (2x3x90L)   TMMP</t>
  </si>
  <si>
    <t>C-1011</t>
  </si>
  <si>
    <t>Цепь распредвала Yaben GY6 50/60/80 (2x3x82L)   TMMP</t>
  </si>
  <si>
    <t>C-131</t>
  </si>
  <si>
    <t>Цилиндр (в сборе)  Yaben GY6 100   (с головкой)   TMMP</t>
  </si>
  <si>
    <t>C-116</t>
  </si>
  <si>
    <t>Цилиндр (в сборе)  Yaben GY6 100  (Ø50mm)  (поршень TEFLON)   TMMP</t>
  </si>
  <si>
    <t>C-1079</t>
  </si>
  <si>
    <t>Цилиндр (в сборе)  Yaben GY6 125   TMMP</t>
  </si>
  <si>
    <t>C-118</t>
  </si>
  <si>
    <t>Цилиндр (в сборе)  Yaben GY6 150   TMMP</t>
  </si>
  <si>
    <t>C-119</t>
  </si>
  <si>
    <t>Цилиндр (в сборе)  Yaben GY6 150  (поршень TEFLON)   TMMP</t>
  </si>
  <si>
    <t>C-121</t>
  </si>
  <si>
    <t>Цилиндр (в сборе)  Yaben GY6 50   (Ø39mm)   TMMP</t>
  </si>
  <si>
    <t>C-122</t>
  </si>
  <si>
    <t>Цилиндр (в сборе)  Yaben GY6 60   (Ø44mm)   TMMP</t>
  </si>
  <si>
    <t>C-1091</t>
  </si>
  <si>
    <t>Цилиндр (в сборе)  Yaben GY6 80   (Ø47mm)   Blade</t>
  </si>
  <si>
    <t>C-124</t>
  </si>
  <si>
    <t>Цилиндр (в сборе)  Yaben GY6 80   (Ø47mm)   TMMP</t>
  </si>
  <si>
    <t>C-125</t>
  </si>
  <si>
    <t>Цилиндр (в сборе)  Yaben GY6 80   (Ø47mm)  (поршень TEFLON)   TMMP</t>
  </si>
  <si>
    <t>E-74</t>
  </si>
  <si>
    <t>Чехол сиденья Grand Prix 50-125cc</t>
  </si>
  <si>
    <t>E-64</t>
  </si>
  <si>
    <t>Чехол сиденья Yaben GY6 150 с надписью Yaben</t>
  </si>
  <si>
    <t>E-35</t>
  </si>
  <si>
    <t>Чехол сиденья Yaben GY6 60 TIGER</t>
  </si>
  <si>
    <t>E-69</t>
  </si>
  <si>
    <t>Чехол сиденья Yaben GY6 60 с надписью Yaben</t>
  </si>
  <si>
    <t>E-44</t>
  </si>
  <si>
    <t>Чехол сиденья Тигр   TMMP</t>
  </si>
  <si>
    <t>E-45</t>
  </si>
  <si>
    <t>Чехол сиденья Хоккеист TMMP</t>
  </si>
  <si>
    <t>H-1068</t>
  </si>
  <si>
    <t>Шестерня редуктора стартера Yaben GY6 125</t>
  </si>
  <si>
    <t>J-291</t>
  </si>
  <si>
    <t>Шестерня стартера Yaben GY6 60</t>
  </si>
  <si>
    <t>J-29</t>
  </si>
  <si>
    <t>Шестерня стартера Yaben GY6 60 с пластмассовым вентилятором</t>
  </si>
  <si>
    <t>H-1079</t>
  </si>
  <si>
    <t>Шланг отстойника воздушного фильтра Yaben GY6 125 (44см)</t>
  </si>
  <si>
    <t>J-108</t>
  </si>
  <si>
    <t>Шпильки карбюратора Yaben GY6 50-150 (2 шт)</t>
  </si>
  <si>
    <t>J-112</t>
  </si>
  <si>
    <t>Шпильки цилиндра Yaben GY6 125</t>
  </si>
  <si>
    <t>J-113</t>
  </si>
  <si>
    <t>Шпильки цилиндра Yaben GY6 50/60/80 (4шт компл)</t>
  </si>
  <si>
    <t>J-117</t>
  </si>
  <si>
    <t>Шпонка коленвала Yaben GY6 50 (4x13.75мм H=3.9мм)</t>
  </si>
  <si>
    <t>J-3161</t>
  </si>
  <si>
    <t>Щека вариатора неподвижная Yaben GY6 125</t>
  </si>
  <si>
    <t>J-142</t>
  </si>
  <si>
    <t>Щуп масла Yaben GY6 125</t>
  </si>
  <si>
    <t>J-143</t>
  </si>
  <si>
    <t>Щуп масла Yaben GY6 60</t>
  </si>
  <si>
    <t>Q-2</t>
  </si>
  <si>
    <t>Элемент воздушного фильтра Yaben GY6 125 треугольный</t>
  </si>
  <si>
    <t>Q-3</t>
  </si>
  <si>
    <t>Элемент воздушного фильтра Yaben GY6 150 круглый   TMMP</t>
  </si>
  <si>
    <t>F-119</t>
  </si>
  <si>
    <t>Элемент воздушного фильтра Yaben GY6 50 139QMB бумажный</t>
  </si>
  <si>
    <t>F-120</t>
  </si>
  <si>
    <t>Элемент воздушного фильтра Yaben GY6 50 139QMB фибра</t>
  </si>
  <si>
    <t>E-56</t>
  </si>
  <si>
    <t>Элемент воздушного фильтра Yaben GY6 50/80 (серо-белый)   D/L</t>
  </si>
  <si>
    <t>B-68</t>
  </si>
  <si>
    <t>Бензобак веломотор   (4л, крышка , крепления)</t>
  </si>
  <si>
    <t>B-69</t>
  </si>
  <si>
    <t>Бензобак веломотор  (2,5л, крышка , крепления)</t>
  </si>
  <si>
    <t>V-42</t>
  </si>
  <si>
    <t>Веломотор (в сборе)  80 сс без стартера</t>
  </si>
  <si>
    <t>V-43</t>
  </si>
  <si>
    <t>Веломотор (в сборе)  80 сс с ручным стартером</t>
  </si>
  <si>
    <t>V-40</t>
  </si>
  <si>
    <t>Веломотор (в сборе)  80 сс чёрный без стартера</t>
  </si>
  <si>
    <t>V-41</t>
  </si>
  <si>
    <t>Веломотор (в сборе)  80 сс чёрный с ручным стартером</t>
  </si>
  <si>
    <t>200-000054677</t>
  </si>
  <si>
    <t>V-5005</t>
  </si>
  <si>
    <t>Веломотор 80 сс (голый) без стартера чёрный</t>
  </si>
  <si>
    <t>V-5004</t>
  </si>
  <si>
    <t>Веломотор 80 сс (голый) со стартером чёрный</t>
  </si>
  <si>
    <t>V-5025</t>
  </si>
  <si>
    <t>Винт сцепления веломотор (под шестигранник)</t>
  </si>
  <si>
    <t>G-25</t>
  </si>
  <si>
    <t>Генератор веломотор ( China )</t>
  </si>
  <si>
    <t>G-9342</t>
  </si>
  <si>
    <t>Глушитель веломотор</t>
  </si>
  <si>
    <t>D-52</t>
  </si>
  <si>
    <t>Демпферная резинка звезды веломотор ( China )</t>
  </si>
  <si>
    <t>D-1018</t>
  </si>
  <si>
    <t>Диски сцепления веломотор (15шт)</t>
  </si>
  <si>
    <t>Z-1060</t>
  </si>
  <si>
    <t>Звезда ведомая (задняя) веломотор  32T   SUPER</t>
  </si>
  <si>
    <t>Z-1061</t>
  </si>
  <si>
    <t>Звезда ведомая (задняя) веломотор  36T   SUPER</t>
  </si>
  <si>
    <t>Z-1062</t>
  </si>
  <si>
    <t>Звезда ведомая (задняя) веломотор  41T   SUPER</t>
  </si>
  <si>
    <t>Z-1063</t>
  </si>
  <si>
    <t>Звезда ведомая (задняя) веломотор  44T   SUPER</t>
  </si>
  <si>
    <t>Z-108</t>
  </si>
  <si>
    <t>Звезда ведомая (задняя) веломотор  48T  SUPER</t>
  </si>
  <si>
    <t>Z-1066</t>
  </si>
  <si>
    <t>Звезда ведомая (задняя) веломотор  50T   SUPER</t>
  </si>
  <si>
    <t>Z-109</t>
  </si>
  <si>
    <t>Звезда ведомая (задняя) веломотор  56T  SUPER</t>
  </si>
  <si>
    <t>Z-110</t>
  </si>
  <si>
    <t>Звезда ведомая (задняя) веломотор  60T  SUPER</t>
  </si>
  <si>
    <t>Z-112</t>
  </si>
  <si>
    <t>Звезда моторная 10 з. веломотор ( China )</t>
  </si>
  <si>
    <t>Z-1065</t>
  </si>
  <si>
    <t>Зеркала веломотор</t>
  </si>
  <si>
    <t>K-43</t>
  </si>
  <si>
    <t>Карбюратор веломотор ( China )</t>
  </si>
  <si>
    <t>K-5387</t>
  </si>
  <si>
    <t>Карбюратор веломотора с регулировкой заслонки (+2 троса+ регулятор заслонки и блок руля)</t>
  </si>
  <si>
    <t>K-5098</t>
  </si>
  <si>
    <t>Катафот велосипедный (пара)</t>
  </si>
  <si>
    <t>K-99</t>
  </si>
  <si>
    <t>Катушка зажигания интегрированная CDI Веломотор ( China )</t>
  </si>
  <si>
    <t>K-169</t>
  </si>
  <si>
    <t>Коленвал веломотор ( China )</t>
  </si>
  <si>
    <t>K-326</t>
  </si>
  <si>
    <t>Кольца Ø47mm 80 сс веломотор ( China )</t>
  </si>
  <si>
    <t>K-448</t>
  </si>
  <si>
    <t>Кран топливный  веломотор ( China )</t>
  </si>
  <si>
    <t>K-5182</t>
  </si>
  <si>
    <t>Крышка сцепления веломотор</t>
  </si>
  <si>
    <t>M-1014</t>
  </si>
  <si>
    <t>Магнето веломотор</t>
  </si>
  <si>
    <t>N-5097</t>
  </si>
  <si>
    <t>Набор сальников двигателя веломотор</t>
  </si>
  <si>
    <t>N-5098</t>
  </si>
  <si>
    <t>Патрубок карбюратора веломотор</t>
  </si>
  <si>
    <t>P-9591</t>
  </si>
  <si>
    <t>Поршень (в сборе) веломотор 80 сс (China )  Ø47mm</t>
  </si>
  <si>
    <t>P-329</t>
  </si>
  <si>
    <t>Поршень (голый) веломотор 80 сс (China )  Ø47mm</t>
  </si>
  <si>
    <t>P-525</t>
  </si>
  <si>
    <t>Прокладка головки цилиндра веломотор ( China )</t>
  </si>
  <si>
    <t>P-551</t>
  </si>
  <si>
    <t>Прокладки двигателя веломотор Китай (набор)</t>
  </si>
  <si>
    <t>R-142</t>
  </si>
  <si>
    <t>Ролик натяжителя цепи веломотор ( China )</t>
  </si>
  <si>
    <t>R-1054</t>
  </si>
  <si>
    <t>Ручки руля веломотора + блок управления</t>
  </si>
  <si>
    <t>R-1055</t>
  </si>
  <si>
    <t>Рычаг сцепления веломотор</t>
  </si>
  <si>
    <t>S-5241</t>
  </si>
  <si>
    <t>Сепаратор нижний веломотор</t>
  </si>
  <si>
    <t>S-83</t>
  </si>
  <si>
    <t>Сепаратор пальца поршневого веломотор ( China )</t>
  </si>
  <si>
    <t>S-5242</t>
  </si>
  <si>
    <t>Спидометр веломотор</t>
  </si>
  <si>
    <t>S-172</t>
  </si>
  <si>
    <t>Стартер ручной веломотор ( China )</t>
  </si>
  <si>
    <t>T-51</t>
  </si>
  <si>
    <t>Трос газа веломотор (L=1260mm/China )</t>
  </si>
  <si>
    <t>T-108</t>
  </si>
  <si>
    <t>Трос сцепления веломотор (L=1480mm/China )</t>
  </si>
  <si>
    <t>C-37</t>
  </si>
  <si>
    <t>Цепь привода колеса  415*112L  (веломотор)</t>
  </si>
  <si>
    <t>C-105</t>
  </si>
  <si>
    <t>Цилиндр (в сборе)  Веломотор 80сс  (Ø47mm,  керамика)</t>
  </si>
  <si>
    <t>H-1020</t>
  </si>
  <si>
    <t>Шайба винта сцепления веломотор</t>
  </si>
  <si>
    <t>H-1021</t>
  </si>
  <si>
    <t>Шарики шестерни сцепления веломотор (57шт)</t>
  </si>
  <si>
    <t>H-1024</t>
  </si>
  <si>
    <t>Шпильки цилиндра веломотор (4 шт M8*112mm)</t>
  </si>
  <si>
    <t>F-1068</t>
  </si>
  <si>
    <t>Элемент воздушного фильтра  веломотор</t>
  </si>
  <si>
    <t>B-15</t>
  </si>
  <si>
    <t>Бендекс ТВ 60</t>
  </si>
  <si>
    <t>G-29</t>
  </si>
  <si>
    <t>Генератор ТВ 60</t>
  </si>
  <si>
    <t>Z-18</t>
  </si>
  <si>
    <t>Замок зажигания (в сборе) ТВ 60   TMMP</t>
  </si>
  <si>
    <t>Z-1044</t>
  </si>
  <si>
    <t>Звезда коленвала TB 60</t>
  </si>
  <si>
    <t>Z-106</t>
  </si>
  <si>
    <t>Звёздочка вариатора резиновая ТВ 60</t>
  </si>
  <si>
    <t>K-204</t>
  </si>
  <si>
    <t>Колодки тормозные барабанные ТВ 60</t>
  </si>
  <si>
    <t>K-5348</t>
  </si>
  <si>
    <t>Кольца  TB-50  std  SEE</t>
  </si>
  <si>
    <t>K-5337</t>
  </si>
  <si>
    <t>Кольца  TB-60   (std)   PR</t>
  </si>
  <si>
    <t>K-5148</t>
  </si>
  <si>
    <t>Кольца  TB-60   0.5 SEE</t>
  </si>
  <si>
    <t>K-5150</t>
  </si>
  <si>
    <t>Кольца  TB-60   0.75 SEE</t>
  </si>
  <si>
    <t>K-376</t>
  </si>
  <si>
    <t>Коммутатор TB 60</t>
  </si>
  <si>
    <t>P-274</t>
  </si>
  <si>
    <t>Поршень (в сборе) TB 60  0.25 (Ø43.25mm)   SEE</t>
  </si>
  <si>
    <t>P-275</t>
  </si>
  <si>
    <t>Поршень (в сборе) TB 60  0.50 (Ø43.50mm)   SEE</t>
  </si>
  <si>
    <t>P-276</t>
  </si>
  <si>
    <t>Поршень (в сборе) TB 60  0.75 (Ø43.75mm)   SEE</t>
  </si>
  <si>
    <t>P-293</t>
  </si>
  <si>
    <t>Поршень (в сборе) TB 60  1.00 (Ø44.00mm)   SEE</t>
  </si>
  <si>
    <t>P-277</t>
  </si>
  <si>
    <t>Поршень (в сборе) TB 60  std (Ø43.00mm)   SEE</t>
  </si>
  <si>
    <t>R-137</t>
  </si>
  <si>
    <t>Ремкомплект карбюратора ТВ 60</t>
  </si>
  <si>
    <t>S-20</t>
  </si>
  <si>
    <t>Сальники (комплект)  ТВ 60   TMMP</t>
  </si>
  <si>
    <t>S-156</t>
  </si>
  <si>
    <t>Стартер TB 60</t>
  </si>
  <si>
    <t>T-63</t>
  </si>
  <si>
    <t>Трос заднего тормоза ТВ 60 (L=1970mm)</t>
  </si>
  <si>
    <t>T-1033</t>
  </si>
  <si>
    <t>Трос переднего тормоза TB-50/60 (L=1175mm)</t>
  </si>
  <si>
    <t>T-100</t>
  </si>
  <si>
    <t>Трос спидометра ТВ 60 (L=910mm)</t>
  </si>
  <si>
    <t>H-16</t>
  </si>
  <si>
    <t>Храповик ТВ-60</t>
  </si>
  <si>
    <t>C-92</t>
  </si>
  <si>
    <t>Цилиндр (в сборе)  ТВ 60  (Ø43.00mm)   TMMP</t>
  </si>
  <si>
    <t>G-9372</t>
  </si>
  <si>
    <t>Гироборд SMART10 (макс. вес 100кг, мощ. 250W)</t>
  </si>
  <si>
    <t>A-104</t>
  </si>
  <si>
    <t>Амортизатор задний  SUZUKI AD 50 (L=275mm)   TMMP</t>
  </si>
  <si>
    <t>A-87</t>
  </si>
  <si>
    <t>Амортизатор задний HONDA DIO 50</t>
  </si>
  <si>
    <t>A-27</t>
  </si>
  <si>
    <t>Амортизатор задний HONDA LEAD 90</t>
  </si>
  <si>
    <t>A-28</t>
  </si>
  <si>
    <t>Амортизаторы передние  HONDA LEAD 90/Yaben GY6 50  (L-260мм)</t>
  </si>
  <si>
    <t>A-67</t>
  </si>
  <si>
    <t>Амортизаторы передние (перья вилки)  HONDA DIO с барабанным тормозом (белые)</t>
  </si>
  <si>
    <t>A-68</t>
  </si>
  <si>
    <t>Амортизаторы передние (перья вилки)  HONDA DIO с дисковым тормозом (белые)</t>
  </si>
  <si>
    <t>A-113</t>
  </si>
  <si>
    <t>Амортизаторы передние (перья вилки)  HONDA DIO с дисковым тормозом (чёрные)</t>
  </si>
  <si>
    <t>M-48</t>
  </si>
  <si>
    <t>Багажник металлический универсальный под кофры</t>
  </si>
  <si>
    <t>B-13</t>
  </si>
  <si>
    <t>Бендекс HONDA DIO 50</t>
  </si>
  <si>
    <t>V-22</t>
  </si>
  <si>
    <t>Вариатор (в сборе) задний  HONDA DIO 50 TMMP</t>
  </si>
  <si>
    <t>V-23</t>
  </si>
  <si>
    <t>Вариатор (в сборе) задний  HONDA LEAD 50   TMMP</t>
  </si>
  <si>
    <t>V-24</t>
  </si>
  <si>
    <t>Вариатор (в сборе) задний  HONDA TACT 50   TMMP</t>
  </si>
  <si>
    <t>V-28</t>
  </si>
  <si>
    <t>Вариатор (в сборе) задний  YAMAHA JOG 50  (старая)</t>
  </si>
  <si>
    <t>V-1008</t>
  </si>
  <si>
    <t>Вариатор (в сборе) задний  YAMAHA JOG 90   TMMP</t>
  </si>
  <si>
    <t>V-5023</t>
  </si>
  <si>
    <t>Вариатор (в сборе) предний  HONDA DIO 27</t>
  </si>
  <si>
    <t>V-5007</t>
  </si>
  <si>
    <t>Вариатор (в сборе) предний  SUZUKI AD 100</t>
  </si>
  <si>
    <t>V-32</t>
  </si>
  <si>
    <t>Вариатор передний HONDA DIO 50 с шестерней и пальцем</t>
  </si>
  <si>
    <t>V-33</t>
  </si>
  <si>
    <t>Вариатор передний HONDA LEAD 90</t>
  </si>
  <si>
    <t>V-34</t>
  </si>
  <si>
    <t>Вариатор передний JAMAHA JOG 50</t>
  </si>
  <si>
    <t>V-35</t>
  </si>
  <si>
    <t>Вариатор передний SUZUKI AD 50</t>
  </si>
  <si>
    <t>V-38</t>
  </si>
  <si>
    <t>Вариатор передний YAMAHA JOG 50 старая</t>
  </si>
  <si>
    <t>G-18</t>
  </si>
  <si>
    <t>Генератор HONDA DIO 50   TMMP</t>
  </si>
  <si>
    <t>G-21</t>
  </si>
  <si>
    <t>Генератор SUZUKI AD 100</t>
  </si>
  <si>
    <t>G-22</t>
  </si>
  <si>
    <t>Генератор SUZUKI AD 50</t>
  </si>
  <si>
    <t>G-24</t>
  </si>
  <si>
    <t>Генератор YAMAHA JOG 50</t>
  </si>
  <si>
    <t>G-41</t>
  </si>
  <si>
    <t>Глушитель HONDA DIO 50 AF-27/AF-28</t>
  </si>
  <si>
    <t>G-42</t>
  </si>
  <si>
    <t>Глушитель HONDA LEAD 90</t>
  </si>
  <si>
    <t>G-43</t>
  </si>
  <si>
    <t>Глушитель HONDA TACT 50</t>
  </si>
  <si>
    <t>G-44</t>
  </si>
  <si>
    <t>Глушитель HONDA ZX 50  AF34/35 с хромированной накладкой</t>
  </si>
  <si>
    <t>G-50</t>
  </si>
  <si>
    <t>Глушитель SUZUKI AD 100</t>
  </si>
  <si>
    <t>G-9368</t>
  </si>
  <si>
    <t>Глушитель SUZUKI AD 50</t>
  </si>
  <si>
    <t>G-55</t>
  </si>
  <si>
    <t>Глушитель YAMAHA JOG 50 (3KJ)</t>
  </si>
  <si>
    <t>G-85</t>
  </si>
  <si>
    <t>Головка цилиндра HONDA DIO 80  (Ø47mm)</t>
  </si>
  <si>
    <t>G-86</t>
  </si>
  <si>
    <t>Головка цилиндра HONDA LEAD 90</t>
  </si>
  <si>
    <t>G-9325</t>
  </si>
  <si>
    <t>Головка цилиндра Yamaha JOG 50</t>
  </si>
  <si>
    <t>G-94</t>
  </si>
  <si>
    <t>Гофра вилки YAMAHA JOG 50</t>
  </si>
  <si>
    <t>D-2</t>
  </si>
  <si>
    <t>Датчик уровня топлива HONDA DIO 50   TMMP</t>
  </si>
  <si>
    <t>D-1012</t>
  </si>
  <si>
    <t>Датчик уровня топлива Suzuki AD</t>
  </si>
  <si>
    <t>D-1042</t>
  </si>
  <si>
    <t>Диск колеса (задний) HONDA DIO 50 железный (белый)</t>
  </si>
  <si>
    <t>D-1079</t>
  </si>
  <si>
    <t>Диск колеса (передний) HONDA DIO 50 (железный, белый, без подшипника)</t>
  </si>
  <si>
    <t>D-1077</t>
  </si>
  <si>
    <t>Диск колеса (передний) HONDA DIO 50 (железный, белый+ подшипник)</t>
  </si>
  <si>
    <t>D-65</t>
  </si>
  <si>
    <t>Диск колеса (передний) SUZUKI AD 50 железный</t>
  </si>
  <si>
    <t>Z-13</t>
  </si>
  <si>
    <t>Замок зажигания (в сборе) YAMAHA JOG50 3KJ</t>
  </si>
  <si>
    <t>Z-1090</t>
  </si>
  <si>
    <t>Замок зажигания (голый) Suzuki AD 50</t>
  </si>
  <si>
    <t>Z-1032</t>
  </si>
  <si>
    <t>Зеркала HONDA  (Ø8mm)   TMMP</t>
  </si>
  <si>
    <t>Z-159</t>
  </si>
  <si>
    <t>Зеркала HONDA ZX   TMMP  Ø10mm</t>
  </si>
  <si>
    <t>Z-160</t>
  </si>
  <si>
    <t>Зеркала HONDA хром</t>
  </si>
  <si>
    <t>Z-166</t>
  </si>
  <si>
    <t>Зеркала SUZUKI AD</t>
  </si>
  <si>
    <t>Z-169</t>
  </si>
  <si>
    <t>Зеркала капля красные   TMMP</t>
  </si>
  <si>
    <t>K-28</t>
  </si>
  <si>
    <t>Карбюратор HONDA TACT 50</t>
  </si>
  <si>
    <t>K-5103</t>
  </si>
  <si>
    <t>Карбюратор HONDA ZX 50 (AF34/35)</t>
  </si>
  <si>
    <t>K-39</t>
  </si>
  <si>
    <t>Карбюратор SUZUKI AD 50</t>
  </si>
  <si>
    <t>K-5106</t>
  </si>
  <si>
    <t>Карбюратор SUZUKI LET'S</t>
  </si>
  <si>
    <t>K-41</t>
  </si>
  <si>
    <t>Карбюратор YAMAHA JOG 4JP</t>
  </si>
  <si>
    <t>K-5165</t>
  </si>
  <si>
    <t>Карбюратор YAMAHA JOG 50</t>
  </si>
  <si>
    <t>K-5400</t>
  </si>
  <si>
    <t>Карбюратор YAMAHA JOG90/2JA</t>
  </si>
  <si>
    <t>K-83</t>
  </si>
  <si>
    <t>Катушка зажигания HONDA DIO/Yaben GY6 50-125 с насвечником и проводом   TMMP  #K</t>
  </si>
  <si>
    <t>K-5179</t>
  </si>
  <si>
    <t>Катушка зажигания SUZUKI AD 50 с насвечником</t>
  </si>
  <si>
    <t>K-1001</t>
  </si>
  <si>
    <t>Катушка зажигания Yaben GY6 50-150/HONDA  Dio/Lead/SA/ZX с насвечником  (оранжевая)   TMMP  #Y</t>
  </si>
  <si>
    <t>K-136</t>
  </si>
  <si>
    <t>Кнопки HONDA DIO 50 (набор)</t>
  </si>
  <si>
    <t>K-5096</t>
  </si>
  <si>
    <t>Коленвал HONDA DIO 18   TMMP</t>
  </si>
  <si>
    <t>K-5157</t>
  </si>
  <si>
    <t>Коленвал HONDA DIO 27 ТММР</t>
  </si>
  <si>
    <t>K-156</t>
  </si>
  <si>
    <t>Коленвал HONDA TACT AF16</t>
  </si>
  <si>
    <t>K-5127</t>
  </si>
  <si>
    <t>Коленвал SUZUKI AD-50</t>
  </si>
  <si>
    <t>K-5170</t>
  </si>
  <si>
    <t>Коленвал Suzuki Sepia 50   TMMP</t>
  </si>
  <si>
    <t>K-5233</t>
  </si>
  <si>
    <t>Коленвал YAMAHA JOG  SEE</t>
  </si>
  <si>
    <t>K-166</t>
  </si>
  <si>
    <t>Коленвал YAMAHA JOG 50</t>
  </si>
  <si>
    <t>K-190</t>
  </si>
  <si>
    <t>Колодки заднего вариатора  HONDA LEAD 50   TMMP</t>
  </si>
  <si>
    <t>K-191</t>
  </si>
  <si>
    <t>Колодки заднего вариатора  HONDA TACT 50</t>
  </si>
  <si>
    <t>K-192</t>
  </si>
  <si>
    <t>Колодки заднего вариатора  SUZUKI AD 50</t>
  </si>
  <si>
    <t>K-194</t>
  </si>
  <si>
    <t>Колодки заднего вариатора YAMAHA JOG 50 старая</t>
  </si>
  <si>
    <t>K-5104</t>
  </si>
  <si>
    <t>Колодки заднего вариатора YAMAHA JOG 90</t>
  </si>
  <si>
    <t>K-200</t>
  </si>
  <si>
    <t>Колодки тормозные барабанные SUZUKI AD 50</t>
  </si>
  <si>
    <t>K-203</t>
  </si>
  <si>
    <t>Колодки тормозные барабанные YAMAHA JOG 50</t>
  </si>
  <si>
    <t>K-205</t>
  </si>
  <si>
    <t>Колодки тормозные дисковые HONDA DIO   TMMP</t>
  </si>
  <si>
    <t>K-247</t>
  </si>
  <si>
    <t>Кольца  Honda DIO 50  0.25   TMMP</t>
  </si>
  <si>
    <t>K-248</t>
  </si>
  <si>
    <t>Кольца  Honda DIO 50  0.50   TMMP</t>
  </si>
  <si>
    <t>K-249</t>
  </si>
  <si>
    <t>Кольца  Honda DIO 50  0.75   TMMP</t>
  </si>
  <si>
    <t>K-250</t>
  </si>
  <si>
    <t>Кольца  Honda DIO 50  1.00   TMMP</t>
  </si>
  <si>
    <t>K-251</t>
  </si>
  <si>
    <t>Кольца  Honda DIO 50  1.25  SEE</t>
  </si>
  <si>
    <t>K-252</t>
  </si>
  <si>
    <t>Кольца  Honda DIO 50  1.50  SEE</t>
  </si>
  <si>
    <t>K-253</t>
  </si>
  <si>
    <t>Кольца  Honda DIO 50  1.75  SEE</t>
  </si>
  <si>
    <t>K-254</t>
  </si>
  <si>
    <t>Кольца  Honda DIO 50  2.00  SEE</t>
  </si>
  <si>
    <t>K-255</t>
  </si>
  <si>
    <t>Кольца  Honda DIO 50  std   TMMP</t>
  </si>
  <si>
    <t>K-357</t>
  </si>
  <si>
    <t>Кольца  Honda DIO ZX 70  std  (Ø44.00mm)   PR</t>
  </si>
  <si>
    <t>K-5354</t>
  </si>
  <si>
    <t>Кольца  Honda LEAD 50  std  (Ømm)   TMMP</t>
  </si>
  <si>
    <t>K-5357</t>
  </si>
  <si>
    <t>Кольца  Honda LEAD 90  0.25  (Ø48.00mm)   SEE</t>
  </si>
  <si>
    <t>K-5359</t>
  </si>
  <si>
    <t>Кольца  Honda LEAD 90  0.50  (Ø48.00mm)   SEE</t>
  </si>
  <si>
    <t>K-273</t>
  </si>
  <si>
    <t>Кольца  Honda LEAD 90  0.75  (Ø48.00mm)   SEE</t>
  </si>
  <si>
    <t>K-274</t>
  </si>
  <si>
    <t>Кольца  Honda LEAD 90  1.00  (Ø48.00mm)   SEE</t>
  </si>
  <si>
    <t>K-275</t>
  </si>
  <si>
    <t>Кольца  Honda LEAD 90  1.25  (Ø48.00mm)   SEE</t>
  </si>
  <si>
    <t>K-276</t>
  </si>
  <si>
    <t>Кольца  Honda LEAD 90  1.50  (Ø48.00mm)   SEE</t>
  </si>
  <si>
    <t>K-277</t>
  </si>
  <si>
    <t>Кольца  Honda LEAD 90  1.75  (Ø48.00mm)   SEE</t>
  </si>
  <si>
    <t>K-278</t>
  </si>
  <si>
    <t>Кольца  Honda LEAD 90  2.00  (Ø48.00mm)   SEE</t>
  </si>
  <si>
    <t>K-5358</t>
  </si>
  <si>
    <t>Кольца  Honda LEAD 90  std  (Ø48.00mm)   SEE</t>
  </si>
  <si>
    <t>K-5349</t>
  </si>
  <si>
    <t>Кольца  Honda ZX 50  0.25   TMMP</t>
  </si>
  <si>
    <t>K-257</t>
  </si>
  <si>
    <t>Кольца  Honda ZX 50  0.50   TMMP</t>
  </si>
  <si>
    <t>K-5350</t>
  </si>
  <si>
    <t>Кольца  Honda ZX 50  1.00  SEE</t>
  </si>
  <si>
    <t>K-261</t>
  </si>
  <si>
    <t>Кольца  Honda ZX 50  1.25  SEE</t>
  </si>
  <si>
    <t>K-262</t>
  </si>
  <si>
    <t>Кольца  Honda ZX 50  1.50  SEE</t>
  </si>
  <si>
    <t>K-263</t>
  </si>
  <si>
    <t>Кольца  Honda ZX 50  1.75  SEE</t>
  </si>
  <si>
    <t>K-259</t>
  </si>
  <si>
    <t>Кольца  Honda ZX 50  2.00  SEE</t>
  </si>
  <si>
    <t>K-256</t>
  </si>
  <si>
    <t>Кольца  Honda ZX 50  std   TMMP</t>
  </si>
  <si>
    <t>K-328</t>
  </si>
  <si>
    <t>Кольца  SA  0.25   SEE</t>
  </si>
  <si>
    <t>K-329</t>
  </si>
  <si>
    <t>Кольца  SA  0.50   SEE</t>
  </si>
  <si>
    <t>K-330</t>
  </si>
  <si>
    <t>Кольца  SA  0.75   SEE</t>
  </si>
  <si>
    <t>K-331</t>
  </si>
  <si>
    <t>Кольца  SA  1.00   SEE</t>
  </si>
  <si>
    <t>K-332</t>
  </si>
  <si>
    <t>Кольца  SA  1.25   SEE</t>
  </si>
  <si>
    <t>K-333</t>
  </si>
  <si>
    <t>Кольца  SA  1.50   SEE</t>
  </si>
  <si>
    <t>K-334</t>
  </si>
  <si>
    <t>Кольца  SA  1.75   SEE</t>
  </si>
  <si>
    <t>K-335</t>
  </si>
  <si>
    <t>Кольца  SA  2.00   SEE</t>
  </si>
  <si>
    <t>K-336</t>
  </si>
  <si>
    <t>Кольца  SA  std   SEE</t>
  </si>
  <si>
    <t>K-5428</t>
  </si>
  <si>
    <t>Кольца  SUZUKI AD 50  0.25 (Ø41.25mm)   TMMP</t>
  </si>
  <si>
    <t>K-281</t>
  </si>
  <si>
    <t>Кольца  SUZUKI AD 50  0.50 (Ø41.50mm)   SEE</t>
  </si>
  <si>
    <t>K-337</t>
  </si>
  <si>
    <t>Кольца  SUZUKI AD 50  0.50 (Ø41.50mm)   TMMP</t>
  </si>
  <si>
    <t>K-282</t>
  </si>
  <si>
    <t>Кольца  SUZUKI AD 50  0.75 (Ø41.75mm)   SEE</t>
  </si>
  <si>
    <t>K-283</t>
  </si>
  <si>
    <t>Кольца  SUZUKI AD 50  1.00 (Ø42.00mm)   SEE</t>
  </si>
  <si>
    <t>K-284</t>
  </si>
  <si>
    <t>Кольца  SUZUKI AD 50  1.25 (Ø42.25mm)   SEE</t>
  </si>
  <si>
    <t>K-285</t>
  </si>
  <si>
    <t>Кольца  SUZUKI AD 50  1.50 (Ø42.50mm)   SEE</t>
  </si>
  <si>
    <t>K-286</t>
  </si>
  <si>
    <t>Кольца  SUZUKI AD 50  1.75 (Ø42.75mm)   SEE</t>
  </si>
  <si>
    <t>K-338</t>
  </si>
  <si>
    <t>Кольца  SUZUKI AD 50  std (Ø41.00mm)   TMMP</t>
  </si>
  <si>
    <t>K-5352</t>
  </si>
  <si>
    <t>Кольца SUZUKI AD 65 0.50 (Ø)   TMMP</t>
  </si>
  <si>
    <t>K-5143</t>
  </si>
  <si>
    <t>Кольца YAMAHA JOG 50  0.25  (Ø40.25mm)   SEE</t>
  </si>
  <si>
    <t>K-339</t>
  </si>
  <si>
    <t>Кольца YAMAHA JOG 50  0.50  (Ø40.50mm)   SEE</t>
  </si>
  <si>
    <t>K-5144</t>
  </si>
  <si>
    <t>Кольца YAMAHA JOG 50  0.75  (Ø40.75mm)   SEE</t>
  </si>
  <si>
    <t>K-5356</t>
  </si>
  <si>
    <t>Кольца YAMAHA JOG 50  1.00  (Ø41.00mm)   SEE</t>
  </si>
  <si>
    <t>K-5145</t>
  </si>
  <si>
    <t>Кольца YAMAHA JOG 50  1.25  (Ø41.25mm)   SEE</t>
  </si>
  <si>
    <t>K-340</t>
  </si>
  <si>
    <t>Кольца YAMAHA JOG 50  1.50  (Ø41.50mm)   SEE</t>
  </si>
  <si>
    <t>K-341</t>
  </si>
  <si>
    <t>Кольца YAMAHA JOG 50  1.75  (Ø41.75mm)   SEE</t>
  </si>
  <si>
    <t>K-5146</t>
  </si>
  <si>
    <t>Кольца YAMAHA JOG 50  2.00  (Ø42.00mm)   SEE</t>
  </si>
  <si>
    <t>K-342</t>
  </si>
  <si>
    <t>Кольца YAMAHA JOG 50  std  (Ø40.00mm)   SEE</t>
  </si>
  <si>
    <t>K-5407</t>
  </si>
  <si>
    <t>Кольца YAMAHA JOG 50  std  (Ø40.00mm)   TMMP</t>
  </si>
  <si>
    <t>K-358</t>
  </si>
  <si>
    <t>Кольца YAMAHA JOG 50 2JA std   SEE</t>
  </si>
  <si>
    <t>K-5355</t>
  </si>
  <si>
    <t>Кольца YAMAHA JOG 50 2JA std   TMMP</t>
  </si>
  <si>
    <t>K-5353</t>
  </si>
  <si>
    <t>Кольца YAMAHA JOG 65  0.50  (Ømm)   TMMP</t>
  </si>
  <si>
    <t>K-343</t>
  </si>
  <si>
    <t>Кольца Yamaha JOG 90   0.25  (Ø50.25mm)   SEE</t>
  </si>
  <si>
    <t>K-344</t>
  </si>
  <si>
    <t>Кольца Yamaha JOG 90   0.50  (Ø50.75mm)   SEE</t>
  </si>
  <si>
    <t>K-345</t>
  </si>
  <si>
    <t>Кольца Yamaha JOG 90   0.75  (Ø50.75mm)   SEE</t>
  </si>
  <si>
    <t>K-346</t>
  </si>
  <si>
    <t>Кольца Yamaha JOG 90   1.00  (Ø51.00mm)   SEE</t>
  </si>
  <si>
    <t>K-347</t>
  </si>
  <si>
    <t>Кольца Yamaha JOG 90   1.25  (Ø51.25mm)   SEE</t>
  </si>
  <si>
    <t>K-348</t>
  </si>
  <si>
    <t>Кольца Yamaha JOG 90   1.50  (Ø51.50mm)   SEE</t>
  </si>
  <si>
    <t>K-349</t>
  </si>
  <si>
    <t>Кольца Yamaha JOG 90   1.75  (Ø51.75mm)   SEE</t>
  </si>
  <si>
    <t>K-350</t>
  </si>
  <si>
    <t>Кольца Yamaha JOG 90   2.00  (Ø52.00mm)   SEE</t>
  </si>
  <si>
    <t>K-5142</t>
  </si>
  <si>
    <t>Кольца Yamaha JOG 90   std  (Ø50.00mm)   SEE</t>
  </si>
  <si>
    <t>K-5173</t>
  </si>
  <si>
    <t>Кольца Yamaha YB-100   0.25  (Ø52.25mm)   SEE</t>
  </si>
  <si>
    <t>K-5174</t>
  </si>
  <si>
    <t>Кольца Yamaha YB-100   0.50  (Ø52.50mm)   SEE</t>
  </si>
  <si>
    <t>K-5175</t>
  </si>
  <si>
    <t>Кольца Yamaha YB-100   0.75  (Ø52.75mm)   SEE</t>
  </si>
  <si>
    <t>K-5176</t>
  </si>
  <si>
    <t>Кольца Yamaha YB-100   1.00  (Ø53.00mm)   SEE</t>
  </si>
  <si>
    <t>K-5284</t>
  </si>
  <si>
    <t>Кольца Yamaha YB-100   1.25  (Ø53.25mm)   SEE</t>
  </si>
  <si>
    <t>K-5285</t>
  </si>
  <si>
    <t>Кольца Yamaha YB-100   1.50  (Ø53.50mm)   SEE</t>
  </si>
  <si>
    <t>K-5286</t>
  </si>
  <si>
    <t>Кольца Yamaha YB-100   1.75  (Ø53.75mm)   SEE</t>
  </si>
  <si>
    <t>K-5287</t>
  </si>
  <si>
    <t>Кольца Yamaha YB-100   2.00  (Ø54.00mm)   SEE</t>
  </si>
  <si>
    <t>K-5283</t>
  </si>
  <si>
    <t>Кольца Yamaha YB-100   std  (Ø52.00mm)   SEE</t>
  </si>
  <si>
    <t>K-370</t>
  </si>
  <si>
    <t>Коммутатор Delta , ALPHA , HONDA DIO AF27/AF28 (синий)  SUPER</t>
  </si>
  <si>
    <t>K-5079</t>
  </si>
  <si>
    <t>Коммутатор HONDA Lead</t>
  </si>
  <si>
    <t>K-374</t>
  </si>
  <si>
    <t>Коммутатор HONDA ZX50 AF35</t>
  </si>
  <si>
    <t>K-378</t>
  </si>
  <si>
    <t>Коммутатор YAMAHA JOG 50  3kj</t>
  </si>
  <si>
    <t>K-365</t>
  </si>
  <si>
    <t>Коммутатор мопед SUZUKI AD, LET'S</t>
  </si>
  <si>
    <t>K-456</t>
  </si>
  <si>
    <t>Кран топливный HONDA ТАСТ 50</t>
  </si>
  <si>
    <t>K-459</t>
  </si>
  <si>
    <t>Кран топливный SUZUKI AD 50</t>
  </si>
  <si>
    <t>K-462</t>
  </si>
  <si>
    <t>Кран топливный YAMAHA JOG 50</t>
  </si>
  <si>
    <t>L-1</t>
  </si>
  <si>
    <t>Лампа поворотов бесцокольная</t>
  </si>
  <si>
    <t>L-530</t>
  </si>
  <si>
    <t>Лампа фары 12V25W 3 уса</t>
  </si>
  <si>
    <t>L-593</t>
  </si>
  <si>
    <t>Лепестковый клапан HONDA DIO 50 (AF18, тонкий)</t>
  </si>
  <si>
    <t>L-11</t>
  </si>
  <si>
    <t>Лепестковый клапан Honda DioZX AF34/35</t>
  </si>
  <si>
    <t>L-12</t>
  </si>
  <si>
    <t>Лепестковый клапан YAMAHA JOG 50 старая</t>
  </si>
  <si>
    <t>M-23</t>
  </si>
  <si>
    <t>Маслонасос HONDA DIO 50 , LEAD50/90</t>
  </si>
  <si>
    <t>M-45</t>
  </si>
  <si>
    <t>Мембрана лепесткового клапана (голая) JOG  2JA</t>
  </si>
  <si>
    <t>M-1003</t>
  </si>
  <si>
    <t>Мембрана лепесткового клапана (голая) JOG  3KJ</t>
  </si>
  <si>
    <t>M-46</t>
  </si>
  <si>
    <t>Мембрана лепесткового клапана DIO</t>
  </si>
  <si>
    <t>L-533</t>
  </si>
  <si>
    <t>Мембрана лепесткового клапана SUZUKI AD</t>
  </si>
  <si>
    <t>N-30</t>
  </si>
  <si>
    <t>Насвечник японцы (HONDA DIO50,ZX50,YAMAHA JOG50/90,SUZUKI AD50/100)</t>
  </si>
  <si>
    <t>N-5100</t>
  </si>
  <si>
    <t>Ножка кикстартера HONDA DIO 50/AF 16-28  (чёрная)</t>
  </si>
  <si>
    <t>N-68</t>
  </si>
  <si>
    <t>Ножка кикстартера SUZUKI AD 50</t>
  </si>
  <si>
    <t>P-21</t>
  </si>
  <si>
    <t>Панель приборов YAMAHA JOG 50 3KJ</t>
  </si>
  <si>
    <t>P-9030</t>
  </si>
  <si>
    <t>Патрубок воздушного фильтра HONDA DIO</t>
  </si>
  <si>
    <t>P-39</t>
  </si>
  <si>
    <t>Патрубок карбюратора HONDA DIO-50 ZX50 AF17-35  (текстолит)</t>
  </si>
  <si>
    <t>P-9801</t>
  </si>
  <si>
    <t>Пластик HONDA DIO AF27/28</t>
  </si>
  <si>
    <t>P-9736</t>
  </si>
  <si>
    <t>Пластик нижний Yamaha JOG</t>
  </si>
  <si>
    <t>P-146</t>
  </si>
  <si>
    <t>Подшипник коленвала HONDA 20*52*12 (компл)   TMMP</t>
  </si>
  <si>
    <t>P-9043</t>
  </si>
  <si>
    <t>Подшипник коленвала HONDA ZX 20*56*12</t>
  </si>
  <si>
    <t>P-167</t>
  </si>
  <si>
    <t>Подшипники коленвала + сальники HONDA DIO 20*52*12  (набор)   TMMP</t>
  </si>
  <si>
    <t>P-9685</t>
  </si>
  <si>
    <t>Подшипники коленвала + сальники HONDA ZX 20*56*12 (набор)   TMMP</t>
  </si>
  <si>
    <t>P-226</t>
  </si>
  <si>
    <t>Поршень (в сборе) HONDA DIO 50  0.25 (Ø39.25mm)   TMMP</t>
  </si>
  <si>
    <t>P-227</t>
  </si>
  <si>
    <t>Поршень (в сборе) HONDA DIO 50  0.50 (Ø39.50mm)   TMMP</t>
  </si>
  <si>
    <t>P-228</t>
  </si>
  <si>
    <t>Поршень (в сборе) HONDA DIO 50  0.75 (Ø39.75mm)   TMMP</t>
  </si>
  <si>
    <t>P-9525</t>
  </si>
  <si>
    <t>Поршень (в сборе) HONDA DIO 50  1.00 (Ø40.00mm)   TMMP</t>
  </si>
  <si>
    <t>P-219</t>
  </si>
  <si>
    <t>Поршень (в сборе) HONDA DIO 50  1.75 (Ø40.75mm)   SEE</t>
  </si>
  <si>
    <t>P-220</t>
  </si>
  <si>
    <t>Поршень (в сборе) HONDA DIO 50  2.00 (Ø41.00mm)   SEE</t>
  </si>
  <si>
    <t>P-231</t>
  </si>
  <si>
    <t>Поршень (в сборе) HONDA DIO 50  std (Ø39.00mm)   TMMP</t>
  </si>
  <si>
    <t>P-232</t>
  </si>
  <si>
    <t>Поршень (в сборе) HONDA DIO 65  0.25 (Ø43,25)   TMMP</t>
  </si>
  <si>
    <t>P-245</t>
  </si>
  <si>
    <t>Поршень (в сборе) Honda LEAD 90  0.25 (Ø48.25mm)   SEE</t>
  </si>
  <si>
    <t>P-246</t>
  </si>
  <si>
    <t>Поршень (в сборе) Honda LEAD 90  0.50 (Ø48.50mm)   SEE</t>
  </si>
  <si>
    <t>P-9672</t>
  </si>
  <si>
    <t>Поршень (в сборе) Honda LEAD 90  0.75 (Ø48.75mm)   SEE</t>
  </si>
  <si>
    <t>P-247</t>
  </si>
  <si>
    <t>Поршень (в сборе) Honda LEAD 90  1.00 (Ø49.00mm)   SEE</t>
  </si>
  <si>
    <t>P-248</t>
  </si>
  <si>
    <t>Поршень (в сборе) Honda LEAD 90  1.25 (Ø49.25mm)   SEE</t>
  </si>
  <si>
    <t>P-9673</t>
  </si>
  <si>
    <t>Поршень (в сборе) Honda LEAD 90  1.50 (Ø49.50mm)   SEE</t>
  </si>
  <si>
    <t>P-264</t>
  </si>
  <si>
    <t>Поршень (в сборе) HONDA SA-50  0.25 (Ø41.25mm)   SEE</t>
  </si>
  <si>
    <t>P-265</t>
  </si>
  <si>
    <t>Поршень (в сборе) HONDA SA-50  0.50 (Ø41.50mm)   SEE</t>
  </si>
  <si>
    <t>P-266</t>
  </si>
  <si>
    <t>Поршень (в сборе) HONDA SA-50  0.75 (Ø41.75mm)   SEE</t>
  </si>
  <si>
    <t>P-267</t>
  </si>
  <si>
    <t>Поршень (в сборе) HONDA SA-50  1.00 (Ø42.00mm)   SEE</t>
  </si>
  <si>
    <t>P-268</t>
  </si>
  <si>
    <t>Поршень (в сборе) HONDA SA-50  1.25 (Ø42.25mm)   SEE</t>
  </si>
  <si>
    <t>P-269</t>
  </si>
  <si>
    <t>Поршень (в сборе) HONDA SA-50  1.50 (Ø42.50mm)   SEE</t>
  </si>
  <si>
    <t>P-270</t>
  </si>
  <si>
    <t>Поршень (в сборе) HONDA SA-50  1.75 (Ø42.75mm)   SEE</t>
  </si>
  <si>
    <t>P-271</t>
  </si>
  <si>
    <t>Поршень (в сборе) HONDA SA-50  2.00 (Ø43.00mm)   SEE</t>
  </si>
  <si>
    <t>P-249</t>
  </si>
  <si>
    <t>Поршень (в сборе) HONDA TACT 65 std (Ø44.00mm)   PR</t>
  </si>
  <si>
    <t>P-250</t>
  </si>
  <si>
    <t>Поршень (в сборе) HONDA ZX 50  0.25 (Ø40.25mm)   TMMP</t>
  </si>
  <si>
    <t>P-356</t>
  </si>
  <si>
    <t>Поршень (в сборе) HONDA ZX 50  1.00 (Ø41.00mm)   SEE</t>
  </si>
  <si>
    <t>P-357</t>
  </si>
  <si>
    <t>Поршень (в сборе) HONDA ZX 50  1.25 (Ø41.25mm)   SEE</t>
  </si>
  <si>
    <t>P-358</t>
  </si>
  <si>
    <t>Поршень (в сборе) HONDA ZX 50  1.75 (Ø41.75mm)   SEE</t>
  </si>
  <si>
    <t>P-359</t>
  </si>
  <si>
    <t>Поршень (в сборе) HONDA ZX 50  2.00 (Ø42.00mm)   SEE</t>
  </si>
  <si>
    <t>P-251</t>
  </si>
  <si>
    <t>Поршень (в сборе) HONDA ZX 50  std (Ø40.00mm)   TMMP</t>
  </si>
  <si>
    <t>P-183</t>
  </si>
  <si>
    <t>Поршень (в сборе) SUZUKI AD 100  0.25 (Ø52.75mm)   SEE</t>
  </si>
  <si>
    <t>P-184</t>
  </si>
  <si>
    <t>Поршень (в сборе) SUZUKI AD 100  0.50 (Ø53.00mm)   SEE</t>
  </si>
  <si>
    <t>P-185</t>
  </si>
  <si>
    <t>Поршень (в сборе) SUZUKI AD 100  0.75 (Ø53.25mm)   SEE</t>
  </si>
  <si>
    <t>P-186</t>
  </si>
  <si>
    <t>Поршень (в сборе) SUZUKI AD 100  1.00 (Ø53.50mm)   SEE</t>
  </si>
  <si>
    <t>P-187</t>
  </si>
  <si>
    <t>Поршень (в сборе) SUZUKI AD 100  1.25 (Ø53.75mm)   SEE</t>
  </si>
  <si>
    <t>P-188</t>
  </si>
  <si>
    <t>Поршень (в сборе) SUZUKI AD 100  1.50 (Ø54.00mm)   SEE</t>
  </si>
  <si>
    <t>P-189</t>
  </si>
  <si>
    <t>Поршень (в сборе) SUZUKI AD 100  1.75 (Ø54.25mm)   SEE</t>
  </si>
  <si>
    <t>P-190</t>
  </si>
  <si>
    <t>Поршень (в сборе) SUZUKI AD 100  2.00 (Ø54.50mm)   SEE</t>
  </si>
  <si>
    <t>P-191</t>
  </si>
  <si>
    <t>Поршень (в сборе) SUZUKI AD 100  std (Ø52.50mm)   SEE</t>
  </si>
  <si>
    <t>P-298</t>
  </si>
  <si>
    <t>Поршень (в сборе) SUZUKI AD 50  0.25 (Ø41.25mm)   SEE</t>
  </si>
  <si>
    <t>P-9779</t>
  </si>
  <si>
    <t>Поршень (в сборе) SUZUKI AD 50  0.25 (Ø41.25mm)   TMMP</t>
  </si>
  <si>
    <t>P-9780</t>
  </si>
  <si>
    <t>Поршень (в сборе) SUZUKI AD 50  0.50 (Ø41.50mm)   TMMP</t>
  </si>
  <si>
    <t>P-9512</t>
  </si>
  <si>
    <t>Поршень (в сборе) SUZUKI AD 50  0.75 (Ø41.75mm,d=10mm)   TMMP</t>
  </si>
  <si>
    <t>P-9514</t>
  </si>
  <si>
    <t>Поршень (в сборе) SUZUKI AD 50  1.00 (Ø42.00mm,d=10mm)   TMMP</t>
  </si>
  <si>
    <t>P-301</t>
  </si>
  <si>
    <t>Поршень (в сборе) SUZUKI AD 50  1.50 (Ø42.50mm)   SEE</t>
  </si>
  <si>
    <t>P-302</t>
  </si>
  <si>
    <t>Поршень (в сборе) SUZUKI AD 50  1.75 (Ø42.75mm)   SEE</t>
  </si>
  <si>
    <t>P-303</t>
  </si>
  <si>
    <t>Поршень (в сборе) SUZUKI AD 50  2.00 (Ø43.00mm)   SEE</t>
  </si>
  <si>
    <t>P-330</t>
  </si>
  <si>
    <t>Поршень (в сборе) SUZUKI AD 65  0.25 (Ø44.25mm)   TMMP</t>
  </si>
  <si>
    <t>P-331</t>
  </si>
  <si>
    <t>Поршень (в сборе) SUZUKI AD 65  0.50 (Ø44.50mm)   TMMP</t>
  </si>
  <si>
    <t>P-9671</t>
  </si>
  <si>
    <t>Поршень (в сборе) SUZUKI AD 65  std (Ø44.00mm)   PR</t>
  </si>
  <si>
    <t>P-332</t>
  </si>
  <si>
    <t>Поршень (в сборе) SUZUKI AD 65  std (Ø44.00mm)   TMMP</t>
  </si>
  <si>
    <t>P-9520</t>
  </si>
  <si>
    <t>Поршень (в сборе) YAMAHA JOG 50  0,25 (Ø40.25mm)   TMMP</t>
  </si>
  <si>
    <t>P-9521</t>
  </si>
  <si>
    <t>Поршень (в сборе) YAMAHA JOG 50  0,75 (Ø40.75mm)   TMMP</t>
  </si>
  <si>
    <t>P-453</t>
  </si>
  <si>
    <t>Поршень (в сборе) YAMAHA JOG 50  0.25 (Ø40.25mm)   TMMP  TEFLON</t>
  </si>
  <si>
    <t>P-9802</t>
  </si>
  <si>
    <t>Поршень (в сборе) YAMAHA JOG 50  0.50 (Ø43.50mm)   TMMP</t>
  </si>
  <si>
    <t>P-9781</t>
  </si>
  <si>
    <t>Поршень (в сборе) YAMAHA JOG 50  0.75 (Ø43.75mm)   TMMP</t>
  </si>
  <si>
    <t>P-9522</t>
  </si>
  <si>
    <t>Поршень (в сборе) YAMAHA JOG 50  1.00 (Ø41.00mm)   TMMP</t>
  </si>
  <si>
    <t>P-283</t>
  </si>
  <si>
    <t>Поршень (в сборе) YAMAHA JOG 50  1.75 (Ø41.75mm)   SEE</t>
  </si>
  <si>
    <t>P-284</t>
  </si>
  <si>
    <t>Поршень (в сборе) YAMAHA JOG 50  2.00 (Ø42.00mm)   SEE</t>
  </si>
  <si>
    <t>P-350</t>
  </si>
  <si>
    <t>Поршень (в сборе) YAMAHA JOG 50  std (Ø40mm)   TMMP</t>
  </si>
  <si>
    <t>P-9730</t>
  </si>
  <si>
    <t>Поршень (в сборе) YAMAHA JOG 65  0.25 (Ø44.25mm)   PR</t>
  </si>
  <si>
    <t>P-352</t>
  </si>
  <si>
    <t>Поршень (в сборе) YAMAHA JOG 65  0.25 (Ø44.25mm)   TMMP</t>
  </si>
  <si>
    <t>P-353</t>
  </si>
  <si>
    <t>Поршень (в сборе) YAMAHA JOG 65  0.50 (Ø44.50mm)   TMMP</t>
  </si>
  <si>
    <t>P-354</t>
  </si>
  <si>
    <t>Поршень (в сборе) YAMAHA JOG 65  std (Ø44.00mm)</t>
  </si>
  <si>
    <t>P-351</t>
  </si>
  <si>
    <t>Поршень (в сборе) YAMAHA JOG 65  std (Ø44.00mm)   TMMP</t>
  </si>
  <si>
    <t>P-286</t>
  </si>
  <si>
    <t>Поршень (в сборе) Yamaha JOG 90  0.25 (Ø50.25mm)   SEE</t>
  </si>
  <si>
    <t>P-287</t>
  </si>
  <si>
    <t>Поршень (в сборе) Yamaha JOG 90  0.50 (Ø50.50mm)   SEE</t>
  </si>
  <si>
    <t>P-288</t>
  </si>
  <si>
    <t>Поршень (в сборе) Yamaha JOG 90  0.75 (Ø50.75mm)   SEE</t>
  </si>
  <si>
    <t>P-289</t>
  </si>
  <si>
    <t>Поршень (в сборе) Yamaha JOG 90  1.00 (Ø51.00mm)   SEE</t>
  </si>
  <si>
    <t>P-290</t>
  </si>
  <si>
    <t>Поршень (в сборе) Yamaha JOG 90  1.25 (Ø51.25mm)   SEE</t>
  </si>
  <si>
    <t>P-291</t>
  </si>
  <si>
    <t>Поршень (в сборе) Yamaha JOG 90  1.50 (Ø51.50mm)   SEE</t>
  </si>
  <si>
    <t>P-292</t>
  </si>
  <si>
    <t>Поршень (в сборе) Yamaha JOG 90  1.75 (Ø51.75mm)   SEE</t>
  </si>
  <si>
    <t>P-9675</t>
  </si>
  <si>
    <t>Поршень (в сборе) Yamaha JOG 90  2.00 (Ø52.00mm)   SEE</t>
  </si>
  <si>
    <t>P-285</t>
  </si>
  <si>
    <t>Поршень (в сборе) Yamaha JOG 90  std (Ø50.00mm)   TMMP</t>
  </si>
  <si>
    <t>P-9524</t>
  </si>
  <si>
    <t>Поршень (в сборе) YAMAHA YB-100  2.00 (Ø54.00mm)   SEE</t>
  </si>
  <si>
    <t>P-580</t>
  </si>
  <si>
    <t>Прокладки двигателя (комплект)  Honda DIO 50cc AF18/27   TMMP</t>
  </si>
  <si>
    <t>P-9017</t>
  </si>
  <si>
    <t>Прокладки двигателя (комплект)  HONDA LEAD 90   TMMP</t>
  </si>
  <si>
    <t>P-581</t>
  </si>
  <si>
    <t>Прокладки двигателя (комплект)  HONDA TACT 50cc   TMMP</t>
  </si>
  <si>
    <t>P-9688</t>
  </si>
  <si>
    <t>Прокладки двигателя (комплект)  HONDA ZX 50   TMMP</t>
  </si>
  <si>
    <t>P-9027</t>
  </si>
  <si>
    <t>Прокладки двигателя (комплект)  SUZUKI AD 50   TMMP</t>
  </si>
  <si>
    <t>P-585</t>
  </si>
  <si>
    <t>Прокладки двигателя (комплект)  Yamaha JOG 50cc 2JA</t>
  </si>
  <si>
    <t>P-587</t>
  </si>
  <si>
    <t>Прокладки двигателя (комплект)  YAMAHA JOG 50cc 3KJ   TMMP</t>
  </si>
  <si>
    <t>P-9792</t>
  </si>
  <si>
    <t>Прокладки двигателя (комплект)  YAMAHA JOG 65cc</t>
  </si>
  <si>
    <t>P-559</t>
  </si>
  <si>
    <t>Прокладки цилиндра (комплект)  HONDA DIO 50    TMMP</t>
  </si>
  <si>
    <t>P-560</t>
  </si>
  <si>
    <t>Прокладки цилиндра (комплект)  HONDA DIO 80  (Ø47mm)</t>
  </si>
  <si>
    <t>P-561</t>
  </si>
  <si>
    <t>Прокладки цилиндра (комплект)  HONDA TACT 50   TMMP</t>
  </si>
  <si>
    <t>P-9034</t>
  </si>
  <si>
    <t>Прокладки цилиндра (комплект)  HONDA TACT 65   GASKET</t>
  </si>
  <si>
    <t>P-583</t>
  </si>
  <si>
    <t>Прокладки цилиндра (комплект)  SUZUKI AD 50сс</t>
  </si>
  <si>
    <t>P-9035</t>
  </si>
  <si>
    <t>Прокладки цилиндра (комплект)  Suzuki LET'S 50   TMMP</t>
  </si>
  <si>
    <t>P-574</t>
  </si>
  <si>
    <t>Прокладки цилиндра (комплект)  YAMAHA JOG 50   TMMP</t>
  </si>
  <si>
    <t>P-9032</t>
  </si>
  <si>
    <t>Прокладки цилиндра (комплект)  YAMAHA JOG 50  (старая)    GASKET</t>
  </si>
  <si>
    <t>P-576</t>
  </si>
  <si>
    <t>Прокладки цилиндра (комплект)  YAMAHA JOG 65 (2JA)</t>
  </si>
  <si>
    <t>P-9678</t>
  </si>
  <si>
    <t>Прокладки цилиндра (комплект)  YAMAHA JOG 65 (3KJ)  TMMP</t>
  </si>
  <si>
    <t>R-36</t>
  </si>
  <si>
    <t>Реле поворотов  SUZUKI AD с сигналом</t>
  </si>
  <si>
    <t>R-43</t>
  </si>
  <si>
    <t>Реле поворотов HONDA DIO 50 с сигналом</t>
  </si>
  <si>
    <t>R-49</t>
  </si>
  <si>
    <t>Реле поворотов YAMAHA JOG с сигналом</t>
  </si>
  <si>
    <t>R-54</t>
  </si>
  <si>
    <t>Реле стартера  SUZUKI AD 50   TMMP</t>
  </si>
  <si>
    <t>R-56</t>
  </si>
  <si>
    <t>Реле стартера  YAMAHA JOG</t>
  </si>
  <si>
    <t>R-65</t>
  </si>
  <si>
    <t>Реле тока HONDA , YAMAHA , SUZUKI усиленное</t>
  </si>
  <si>
    <t>R-1001</t>
  </si>
  <si>
    <t>Реле тока HONDA DIO</t>
  </si>
  <si>
    <t>R-66</t>
  </si>
  <si>
    <t>Реле тока HONDA TACT 50</t>
  </si>
  <si>
    <t>R-71</t>
  </si>
  <si>
    <t>Реле тока SUZUKI AD 50</t>
  </si>
  <si>
    <t>R-73</t>
  </si>
  <si>
    <t>Реле тока YAMAHA JOG 50</t>
  </si>
  <si>
    <t>R-1053</t>
  </si>
  <si>
    <t>Реле-регулятор напряжения Yamaha JOG 50   (зелёная фишка)</t>
  </si>
  <si>
    <t>R-1047</t>
  </si>
  <si>
    <t>Ремень вариатора 642*15,5*30   TMMP</t>
  </si>
  <si>
    <t>R-1096</t>
  </si>
  <si>
    <t>Ремень вариатора 655*15,5*530 HONDA DIO AF 18/24   TMMP</t>
  </si>
  <si>
    <t>R-95</t>
  </si>
  <si>
    <t>Ремень вариатора 664*16,5 SUZUKI AD 50</t>
  </si>
  <si>
    <t>R-96</t>
  </si>
  <si>
    <t>Ремень вариатора 666*16,8 Suzuki LETS   TMMP</t>
  </si>
  <si>
    <t>R-84</t>
  </si>
  <si>
    <t>Ремень вариатора 667*18 CAYKO</t>
  </si>
  <si>
    <t>R-85</t>
  </si>
  <si>
    <t>Ремень вариатора 667x18 DIO AF34/35</t>
  </si>
  <si>
    <t>R-97</t>
  </si>
  <si>
    <t>Ремень вариатора 705*18 HONDA LEAD 50</t>
  </si>
  <si>
    <t>R-83</t>
  </si>
  <si>
    <t>Ремень вариатора 752*16,5 CAYKO</t>
  </si>
  <si>
    <t>R-91</t>
  </si>
  <si>
    <t>Ремень вариатора 770*17,5   TMMP</t>
  </si>
  <si>
    <t>R-1048</t>
  </si>
  <si>
    <t>Ремень вариатора 788 YOG</t>
  </si>
  <si>
    <t>R-82</t>
  </si>
  <si>
    <t>Ремень вариатора 789*16 JOG CAYKO</t>
  </si>
  <si>
    <t>R-92</t>
  </si>
  <si>
    <t>Ремень вариатора 790*16,8 Yamaha JOG 3KJ   TMMP</t>
  </si>
  <si>
    <t>R-1043</t>
  </si>
  <si>
    <t>Ремкомплект карбюратора HONDA DIO</t>
  </si>
  <si>
    <t>R-132</t>
  </si>
  <si>
    <t>Ремкомплект карбюратора HONDA DIO ZX   AF-34/35</t>
  </si>
  <si>
    <t>R-117</t>
  </si>
  <si>
    <t>Ремкомплект карбюратора HONDA LEAD 90</t>
  </si>
  <si>
    <t>R-118</t>
  </si>
  <si>
    <t>Ремкомплект карбюратора HONDA TACT 50</t>
  </si>
  <si>
    <t>R-133</t>
  </si>
  <si>
    <t>Ремкомплект карбюратора HONDA Tact/Pal/AF16</t>
  </si>
  <si>
    <t>R-123</t>
  </si>
  <si>
    <t>Ремкомплект карбюратора SUZUKI AD 50</t>
  </si>
  <si>
    <t>R-1100</t>
  </si>
  <si>
    <t>Ремкомплект карбюратора YAMAHA JOG 50 (без поплавка)</t>
  </si>
  <si>
    <t>R-125</t>
  </si>
  <si>
    <t>Ремкомплект карбюратора YAMAHA JOG 50 (полный)</t>
  </si>
  <si>
    <t>R-145</t>
  </si>
  <si>
    <t>Ролики вариатора AD 50 (6 шт.)</t>
  </si>
  <si>
    <t>R-1010</t>
  </si>
  <si>
    <t>Ручки выжимные руля "рыбки" HONDA DIO с дисковым тормозом</t>
  </si>
  <si>
    <t>R-1025</t>
  </si>
  <si>
    <t>Ручки выжимные руля "рыбки" HONDA LEAD</t>
  </si>
  <si>
    <t>R-1013</t>
  </si>
  <si>
    <t>Ручки выжимные руля "рыбки" HONDA LEAD с дисковым тормозом</t>
  </si>
  <si>
    <t>R-1023</t>
  </si>
  <si>
    <t>Ручки выжимные руля "рыбки" HONDA ZX</t>
  </si>
  <si>
    <t>R-1014</t>
  </si>
  <si>
    <t>Ручки выжимные руля "рыбки" SUZUKI AD с дисковым тормозом</t>
  </si>
  <si>
    <t>R-199</t>
  </si>
  <si>
    <t>Ручки выжимные руля "рыбки" YAMAHA JOG с барабанным тормозом</t>
  </si>
  <si>
    <t>R-1012</t>
  </si>
  <si>
    <t>Ручки выжимные руля "рыбки" YAMAHA JOG с дисковым тормозом</t>
  </si>
  <si>
    <t>S-5218</t>
  </si>
  <si>
    <t>Сальники  SUZUKI AD  (набор)</t>
  </si>
  <si>
    <t>S-5348</t>
  </si>
  <si>
    <t>Сальники  SUZUKI SEPIA</t>
  </si>
  <si>
    <t>S-30</t>
  </si>
  <si>
    <t>Сальники Yamaha JOG 50cc, 2JA (набор)</t>
  </si>
  <si>
    <t>S-5338</t>
  </si>
  <si>
    <t>Сектор кикстартера HONDA DIO/TACT</t>
  </si>
  <si>
    <t>S-65</t>
  </si>
  <si>
    <t>Сектор кикстартера SUZUKI AD 50</t>
  </si>
  <si>
    <t>S-72</t>
  </si>
  <si>
    <t>Сектор кикстартера YAMAHA JOG 50</t>
  </si>
  <si>
    <t>S-94</t>
  </si>
  <si>
    <t>Сепаратор японец Ø10mm</t>
  </si>
  <si>
    <t>S-95</t>
  </si>
  <si>
    <t>Сепаратор японец Ø12mm</t>
  </si>
  <si>
    <t>S-151</t>
  </si>
  <si>
    <t>Стартер HONDA DIO 50/ZX 50   TMMP</t>
  </si>
  <si>
    <t>S-149</t>
  </si>
  <si>
    <t>Стартер HONDA LEAD 50</t>
  </si>
  <si>
    <t>S-150</t>
  </si>
  <si>
    <t>Стартер HONDA LEAD 90</t>
  </si>
  <si>
    <t>S-5208</t>
  </si>
  <si>
    <t>Стартер HONDA TACT</t>
  </si>
  <si>
    <t>S-5212</t>
  </si>
  <si>
    <t>Стартер SUZUKI AD 100</t>
  </si>
  <si>
    <t>S-155</t>
  </si>
  <si>
    <t>Стартер SUZUKI AD 50</t>
  </si>
  <si>
    <t>S-161</t>
  </si>
  <si>
    <t>Стартер YAMAHA JOG 50 3KJ</t>
  </si>
  <si>
    <t>F-174</t>
  </si>
  <si>
    <t>Стоп (в сборе) HONDA ZX50 AF34/35</t>
  </si>
  <si>
    <t>S-222</t>
  </si>
  <si>
    <t>Съёмник магнето японцы</t>
  </si>
  <si>
    <t>T-15</t>
  </si>
  <si>
    <t>Термоклапан карбюратора HONDA DIO 50 (AF27/28)/TACT 50   TMMP</t>
  </si>
  <si>
    <t>T-16</t>
  </si>
  <si>
    <t>Термоклапан карбюратора SUZUKI AD 50</t>
  </si>
  <si>
    <t>T-19</t>
  </si>
  <si>
    <t>Термоклапан карбюратора YAMAHA JOG 50</t>
  </si>
  <si>
    <t>T-1054</t>
  </si>
  <si>
    <t>Траверса HONDA DIO50 AF28/35</t>
  </si>
  <si>
    <t>T-36</t>
  </si>
  <si>
    <t>Трос газа HONDA DIO 50 (L=2000mm)   TMMP</t>
  </si>
  <si>
    <t>T-37</t>
  </si>
  <si>
    <t>Трос газа HONDA LEAD 50   TMMP</t>
  </si>
  <si>
    <t>T-38</t>
  </si>
  <si>
    <t>Трос газа HONDA LEAD 90 (L=2000mm)</t>
  </si>
  <si>
    <t>T-39</t>
  </si>
  <si>
    <t>Трос газа HONDA TACT (L=1800mm)</t>
  </si>
  <si>
    <t>T-40</t>
  </si>
  <si>
    <t>Трос газа HONDA ZX 50 (L=1985mm)   TMMP</t>
  </si>
  <si>
    <t>T-43</t>
  </si>
  <si>
    <t>Трос газа SUZUKI AD (L=1770mm)   TMMP</t>
  </si>
  <si>
    <t>T-44</t>
  </si>
  <si>
    <t>Трос газа SUZUKI LET'S (L=1685mm)</t>
  </si>
  <si>
    <t>T-57</t>
  </si>
  <si>
    <t>Трос заднего тормоза HONDA TACT (L=2000mm)</t>
  </si>
  <si>
    <t>T-61</t>
  </si>
  <si>
    <t>Трос заднего тормоза YAMAHA JOG 1800mm   TMMP</t>
  </si>
  <si>
    <t>T-62</t>
  </si>
  <si>
    <t>Трос заднего тормоза YAMAHA JOG 2000mm   TMMP</t>
  </si>
  <si>
    <t>T-1007</t>
  </si>
  <si>
    <t>Трос переднего тормоза HONDA DIO 50 (L=1140mm)</t>
  </si>
  <si>
    <t>T-68</t>
  </si>
  <si>
    <t>Трос переднего тормоза HONDA TACT (L=1345mm)</t>
  </si>
  <si>
    <t>T-70</t>
  </si>
  <si>
    <t>Трос переднего тормоза SUZUKI AD 50 (L=1265mm)</t>
  </si>
  <si>
    <t>T-77</t>
  </si>
  <si>
    <t>Трос передний тормоз YAMAHA JOG 50 (L=1115mm)   TMMP</t>
  </si>
  <si>
    <t>T-80</t>
  </si>
  <si>
    <t>Трос спидометра  YAMAHA JOG  с барабанным тормозом  (L=900mm)</t>
  </si>
  <si>
    <t>T-81</t>
  </si>
  <si>
    <t>Трос спидометра  YAMAHA JOG  с дисковым тормозом (L=1080mm)</t>
  </si>
  <si>
    <t>T-1046</t>
  </si>
  <si>
    <t>Трос спидометра HONDA DIO барабанный тормоз</t>
  </si>
  <si>
    <t>T-84</t>
  </si>
  <si>
    <t>Трос спидометра HONDA DIO дисковый тормоз</t>
  </si>
  <si>
    <t>T-85</t>
  </si>
  <si>
    <t>Трос спидометра HONDA LEAD 90 (L=1050mm)   TMMP</t>
  </si>
  <si>
    <t>T-86</t>
  </si>
  <si>
    <t>Трос спидометра HONDA TACT барабанный тормоз   TMMP</t>
  </si>
  <si>
    <t>T-87</t>
  </si>
  <si>
    <t>Трос спидометра HONDA ZX 50 (L=860mm)</t>
  </si>
  <si>
    <t>T-88</t>
  </si>
  <si>
    <t>Трос спидометра HONDA ТАСТ дисковый тормоз  (L=1060mm)</t>
  </si>
  <si>
    <t>T-1003</t>
  </si>
  <si>
    <t>Трос спидометра SUZUKI AD 50 (L=1075mm)   TMMP</t>
  </si>
  <si>
    <t>F-1127</t>
  </si>
  <si>
    <t>Фара (в сборе) HONDA DIO 27</t>
  </si>
  <si>
    <t>F-14</t>
  </si>
  <si>
    <t>Фара (в сборе) HONDA ZX 50 AF-34</t>
  </si>
  <si>
    <t>F-8</t>
  </si>
  <si>
    <t>Фара SUZUKI LET'S</t>
  </si>
  <si>
    <t>F-12</t>
  </si>
  <si>
    <t>Фара YAMAHA JOG 3kj</t>
  </si>
  <si>
    <t>K-418</t>
  </si>
  <si>
    <t>Фильтр воздушный (в сборе) HONDA DIO 18</t>
  </si>
  <si>
    <t>K-419</t>
  </si>
  <si>
    <t>Фильтр воздушный (в сборе) HONDA DIO 27</t>
  </si>
  <si>
    <t>K-420</t>
  </si>
  <si>
    <t>Фильтр воздушный (в сборе) HONDA ZX 50 AF-34/AF-35</t>
  </si>
  <si>
    <t>K-430</t>
  </si>
  <si>
    <t>Фильтр воздушный (в сборе) YAMAHA JOG  (3KJ)</t>
  </si>
  <si>
    <t>K-429</t>
  </si>
  <si>
    <t>Фильтр воздушный (в сборе) YAMAHA JOG 2JA</t>
  </si>
  <si>
    <t>K-421</t>
  </si>
  <si>
    <t>Фильтр воздушный (в сборе) YAMAHA JOG 50 (карбон, super)</t>
  </si>
  <si>
    <t>K-5090</t>
  </si>
  <si>
    <t>Фильтр воздушный (в сборе) YAMAHA JOG 50 (прозрачный)</t>
  </si>
  <si>
    <t>H-7</t>
  </si>
  <si>
    <t>Храповик кикстартера HONDA DIO 50 (AF27)</t>
  </si>
  <si>
    <t>H-8</t>
  </si>
  <si>
    <t>Храповик кикстартера SUZUKI AD   TMMP</t>
  </si>
  <si>
    <t>C-59</t>
  </si>
  <si>
    <t>Цилиндр (в сборе)  HONDA DIO 50 AF27/28  (Ø39.00mm)   TMMP</t>
  </si>
  <si>
    <t>C-61</t>
  </si>
  <si>
    <t>Цилиндр (в сборе)  HONDA DIO 65   (Ø43.00mm)   TMMP</t>
  </si>
  <si>
    <t>C-62</t>
  </si>
  <si>
    <t>Цилиндр (в сборе)  HONDA DIO 80   (Ø47.00mm)   TMMP</t>
  </si>
  <si>
    <t>C-1087</t>
  </si>
  <si>
    <t>Цилиндр (в сборе)  HONDA DIO 90  (49.00mm) +головкa   TMMP</t>
  </si>
  <si>
    <t>C-64</t>
  </si>
  <si>
    <t>Цилиндр (в сборе)  HONDA LEAD 90   (Ø48.00mm)   TMMP</t>
  </si>
  <si>
    <t>C-65</t>
  </si>
  <si>
    <t>Цилиндр (в сборе)  HONDA ZX 50   (Ø40.00mm)   TMMP</t>
  </si>
  <si>
    <t>C-1102</t>
  </si>
  <si>
    <t>Цилиндр (в сборе)  HONDA ZX 60   (Ø43.00mm)   TMMP</t>
  </si>
  <si>
    <t>C-67</t>
  </si>
  <si>
    <t>Цилиндр (в сборе)  HONDA ZX 70   (Ø44.00mm)   TMMP</t>
  </si>
  <si>
    <t>C-1065</t>
  </si>
  <si>
    <t>Цилиндр (в сборе)  HONDA ТАСТ 50   (Ø41.00mm, поршень TEFLON)   TMMP</t>
  </si>
  <si>
    <t>C-68</t>
  </si>
  <si>
    <t>Цилиндр (в сборе)  HONDA ТАСТ 50   (Ø41.00mm)   TMMP</t>
  </si>
  <si>
    <t>C-75</t>
  </si>
  <si>
    <t>Цилиндр (в сборе)  SUZUKI AD 50   (Ø41.00mm)   TMMP</t>
  </si>
  <si>
    <t>C-77</t>
  </si>
  <si>
    <t>Цилиндр (в сборе)  SUZUKI AD 65   (Ø43.00mm)   TMMP</t>
  </si>
  <si>
    <t>C-1067</t>
  </si>
  <si>
    <t>Цилиндр (в сборе)  SUZUKI AD 65   (Ø44.00mm, поршень TEFLON)   TMMP</t>
  </si>
  <si>
    <t>C-76</t>
  </si>
  <si>
    <t>Цилиндр (в сборе)  SUZUKI AD 65   (Ø44.00mm)</t>
  </si>
  <si>
    <t>C-78</t>
  </si>
  <si>
    <t>Цилиндр (в сборе)  SUZUKI AD 80  (Ø47.00mm)   TMMP</t>
  </si>
  <si>
    <t>C-79</t>
  </si>
  <si>
    <t>Цилиндр (в сборе)  SUZUKI LET'S 50  (Ø41.00mm)   TMMP</t>
  </si>
  <si>
    <t>C-1022</t>
  </si>
  <si>
    <t>Цилиндр (в сборе)  YAMAHA JOG 3KJ 65   (Ø44.00mm)</t>
  </si>
  <si>
    <t>C-1070</t>
  </si>
  <si>
    <t>Цилиндр (в сборе)  YAMAHA JOG 50  (Ø40.00mm. поршень TEFLON)   TMMP</t>
  </si>
  <si>
    <t>C-81</t>
  </si>
  <si>
    <t>Цилиндр (в сборе)  YAMAHA JOG 50  (Ø40.00mm)   TMMP</t>
  </si>
  <si>
    <t>C-83</t>
  </si>
  <si>
    <t>Цилиндр (в сборе)  YAMAHA JOG 50  (Ø40.00mm)  старая</t>
  </si>
  <si>
    <t>C-82</t>
  </si>
  <si>
    <t>Цилиндр (в сборе)  YAMAHA JOG 50  (Ø40.00mm)  старая 2JA   TMMP</t>
  </si>
  <si>
    <t>C-84</t>
  </si>
  <si>
    <t>Цилиндр (в сборе)  YAMAHA JOG 65   (Ø44.00mm)</t>
  </si>
  <si>
    <t>C-85</t>
  </si>
  <si>
    <t>Цилиндр (в сборе)  YAMAHA JOG 65  (Ø44.00mm)   TMMP</t>
  </si>
  <si>
    <t>C-86</t>
  </si>
  <si>
    <t>Цилиндр (в сборе)  YAMAHA JOG 80 , KEEWAY-80 ( Ø47mm, p-12 )   TMMP</t>
  </si>
  <si>
    <t>C-87</t>
  </si>
  <si>
    <t>Цилиндр (в сборе)  YAMAHA JOG 90  (Ø50.00mm)   TMMP</t>
  </si>
  <si>
    <t>E-14</t>
  </si>
  <si>
    <t>Чехол сиденья HONDA DIO 18</t>
  </si>
  <si>
    <t>E-17</t>
  </si>
  <si>
    <t>Чехол сиденья HONDA DIO 24</t>
  </si>
  <si>
    <t>E-18</t>
  </si>
  <si>
    <t>Чехол сиденья HONDA DIO 24 TAIWAN с надписью HONDA</t>
  </si>
  <si>
    <t>E-19</t>
  </si>
  <si>
    <t>Чехол сиденья HONDA DIO 27</t>
  </si>
  <si>
    <t>E-22</t>
  </si>
  <si>
    <t>Чехол сиденья HONDA DIO 34</t>
  </si>
  <si>
    <t>E-24</t>
  </si>
  <si>
    <t>Чехол сиденья HONDA Lead 50</t>
  </si>
  <si>
    <t>E-25</t>
  </si>
  <si>
    <t>Чехол сиденья HONDA Lead TAIWAN с надписью HONDA</t>
  </si>
  <si>
    <t>E-68</t>
  </si>
  <si>
    <t>Чехол сиденья HONDA TACT 24</t>
  </si>
  <si>
    <t>E-67</t>
  </si>
  <si>
    <t>Чехол сиденья HONDA TACT с надписью HONDA</t>
  </si>
  <si>
    <t>E-59</t>
  </si>
  <si>
    <t>Чехол сиденья SUZUKI Address</t>
  </si>
  <si>
    <t>E-32</t>
  </si>
  <si>
    <t>Чехол сиденья SUZUKI Lets</t>
  </si>
  <si>
    <t>E-60</t>
  </si>
  <si>
    <t>Чехол сиденья SUZUKI Sepia</t>
  </si>
  <si>
    <t>E-66</t>
  </si>
  <si>
    <t>Чехол сиденья SUZUKI Sepia с надписью Suzuki</t>
  </si>
  <si>
    <t>E-39</t>
  </si>
  <si>
    <t>Чехол сиденья Yamaha JOG   TMMP</t>
  </si>
  <si>
    <t>E-36</t>
  </si>
  <si>
    <t>Чехол сиденья YAMAHA JOG 50</t>
  </si>
  <si>
    <t>H-1071</t>
  </si>
  <si>
    <t>Шайба щеки под храповик Honda Dio</t>
  </si>
  <si>
    <t>H-1074</t>
  </si>
  <si>
    <t>Шатун коленвала HONDA DIO 50</t>
  </si>
  <si>
    <t>H-1025</t>
  </si>
  <si>
    <t>Шатун коленвала SUZUKI AD 50</t>
  </si>
  <si>
    <t>J-30</t>
  </si>
  <si>
    <t>Шестерня стартера YAMAHA JOG 50 в сборе</t>
  </si>
  <si>
    <t>F-110</t>
  </si>
  <si>
    <t>Элемент воздушного фильтра Honda Lead (поролон)</t>
  </si>
  <si>
    <t>F-1038</t>
  </si>
  <si>
    <t>Элемент воздушного фильтра Honda Lead (фибровый без пропитки)   D/L</t>
  </si>
  <si>
    <t>F-1037</t>
  </si>
  <si>
    <t>Элемент воздушного фильтра Honda ТАСТ AF-18 (фибровый без пропитки)  D/L</t>
  </si>
  <si>
    <t>F-114</t>
  </si>
  <si>
    <t>Элемент воздушного фильтра Suzuki Lets II поролон</t>
  </si>
  <si>
    <t>F-115</t>
  </si>
  <si>
    <t>Элемент воздушного фильтра Suzuki Lets поролон</t>
  </si>
  <si>
    <t>F-118</t>
  </si>
  <si>
    <t>Элемент воздушного фильтра Suzuki Sepia/AD-50cc поролон</t>
  </si>
  <si>
    <t>F-121</t>
  </si>
  <si>
    <t>Элемент воздушного фильтра Yamaha JOG 50/Axis/Axis90 поролон</t>
  </si>
  <si>
    <t>A-37</t>
  </si>
  <si>
    <t>Амортизатор коляски Иж  (L=300mm)</t>
  </si>
  <si>
    <t>A-52</t>
  </si>
  <si>
    <t>Амортизаторы задние JAWA   (закрытые)   L=320mm</t>
  </si>
  <si>
    <t>A-39</t>
  </si>
  <si>
    <t>Амортизаторы задние JAWA  (L=330mm)   TMMP</t>
  </si>
  <si>
    <t>A-36</t>
  </si>
  <si>
    <t>Амортизаторы задние Днепр МТ  (L=360mm)</t>
  </si>
  <si>
    <t>A-89</t>
  </si>
  <si>
    <t>Амортизаторы задние ИЖ без рычага  (L=330mm)</t>
  </si>
  <si>
    <t>B-8</t>
  </si>
  <si>
    <t>Барабан сцепления  Минск</t>
  </si>
  <si>
    <t>B-9</t>
  </si>
  <si>
    <t>Барабан сцепления Иж Планета</t>
  </si>
  <si>
    <t>B-11</t>
  </si>
  <si>
    <t>Бардачёк Иж левый</t>
  </si>
  <si>
    <t>B-12</t>
  </si>
  <si>
    <t>Бардачёк Иж правый</t>
  </si>
  <si>
    <t>B-56</t>
  </si>
  <si>
    <t>Брызговик крыла заднего Иж</t>
  </si>
  <si>
    <t>B-57</t>
  </si>
  <si>
    <t>Брызговик крыла переднего Иж</t>
  </si>
  <si>
    <t>V-1011</t>
  </si>
  <si>
    <t>Вал кикстартера  Минск</t>
  </si>
  <si>
    <t>V-7</t>
  </si>
  <si>
    <t>Вал кикстартера Иж</t>
  </si>
  <si>
    <t>V-9</t>
  </si>
  <si>
    <t>Вал п/п  Минск</t>
  </si>
  <si>
    <t>V-14</t>
  </si>
  <si>
    <t>Вал п/п Иж Планета</t>
  </si>
  <si>
    <t>V-5033</t>
  </si>
  <si>
    <t>Вилка п/п Иж Планета 1-12</t>
  </si>
  <si>
    <t>V-5018</t>
  </si>
  <si>
    <t>Вилочки п/п JAWA</t>
  </si>
  <si>
    <t>V-1006</t>
  </si>
  <si>
    <t>Вставка амортизатора Иж (комплект, 2шт)</t>
  </si>
  <si>
    <t>V-68</t>
  </si>
  <si>
    <t>Втулка шатуна Иж Юпитер биметаллическая</t>
  </si>
  <si>
    <t>V-69</t>
  </si>
  <si>
    <t>Втулка шатуна Карпаты биметаллическая</t>
  </si>
  <si>
    <t>V-70</t>
  </si>
  <si>
    <t>Втулка шатуна Минск биметаллическая</t>
  </si>
  <si>
    <t>V-71</t>
  </si>
  <si>
    <t>Втулка шатуна Мт биметаллическая</t>
  </si>
  <si>
    <t>V-72</t>
  </si>
  <si>
    <t>Втулка шатуна Муравей биметаллическая</t>
  </si>
  <si>
    <t>G-26</t>
  </si>
  <si>
    <t>Генератор (в сборе) Иж Юпитер 12V</t>
  </si>
  <si>
    <t>G-28</t>
  </si>
  <si>
    <t>Генератор Минск ( 14V, 65W)</t>
  </si>
  <si>
    <t>G-9357</t>
  </si>
  <si>
    <t>Глушитель JAWA-350 (пара, качественные)   TMMP</t>
  </si>
  <si>
    <t>G-60</t>
  </si>
  <si>
    <t>Глушитель Днепр Мт ( пара )</t>
  </si>
  <si>
    <t>G-61</t>
  </si>
  <si>
    <t>Глушитель Иж Планета</t>
  </si>
  <si>
    <t>G-66</t>
  </si>
  <si>
    <t>Глушитель Иж Юпитер (пара)</t>
  </si>
  <si>
    <t>G-62</t>
  </si>
  <si>
    <t>Глушитель Карпаты с коленом</t>
  </si>
  <si>
    <t>G-64</t>
  </si>
  <si>
    <t>Глушитель Минск</t>
  </si>
  <si>
    <t>G-88</t>
  </si>
  <si>
    <t>Головка цилиндра Дырчик</t>
  </si>
  <si>
    <t>G-90</t>
  </si>
  <si>
    <t>Гофра вилки JAWA-350 ( пара ) Китай</t>
  </si>
  <si>
    <t>G-95</t>
  </si>
  <si>
    <t>Гофра цепи JAWA-350 (пара)   КИТАЙ</t>
  </si>
  <si>
    <t>D-51</t>
  </si>
  <si>
    <t>Демпферная резинка звезды  JAWA-350</t>
  </si>
  <si>
    <t>D-63</t>
  </si>
  <si>
    <t>Диодный мост JAWA-350</t>
  </si>
  <si>
    <t>D-1004</t>
  </si>
  <si>
    <t>Диск сцепления Иж комп 6 шт</t>
  </si>
  <si>
    <t>D-90</t>
  </si>
  <si>
    <t>Диски сцепления JAWA 12V</t>
  </si>
  <si>
    <t>D-91</t>
  </si>
  <si>
    <t>Диски сцепления JAWA 6V</t>
  </si>
  <si>
    <t>D-94</t>
  </si>
  <si>
    <t>Дуги безопасности Минск</t>
  </si>
  <si>
    <t>D-95</t>
  </si>
  <si>
    <t>Дуги безопастности JAWA хром</t>
  </si>
  <si>
    <t>D-1005</t>
  </si>
  <si>
    <t>Дуги безопастности JAWA чёрные</t>
  </si>
  <si>
    <t>D-96</t>
  </si>
  <si>
    <t>Дуги безопастности Иж хром</t>
  </si>
  <si>
    <t>K-505</t>
  </si>
  <si>
    <t>Заглушка трубы  JAWA  (1шт)  чёрная</t>
  </si>
  <si>
    <t>Z-10</t>
  </si>
  <si>
    <t>Замок зажигания JAWA-350  12V</t>
  </si>
  <si>
    <t>Z-17</t>
  </si>
  <si>
    <t>Замок зажигания Днепр МТ</t>
  </si>
  <si>
    <t>Z-14</t>
  </si>
  <si>
    <t>Замок зажигания Иж</t>
  </si>
  <si>
    <t>Z-20</t>
  </si>
  <si>
    <t>Замок цепи 520   TMMP</t>
  </si>
  <si>
    <t>K-5087</t>
  </si>
  <si>
    <t>Заслонка карбюратор К-68 (круглая)</t>
  </si>
  <si>
    <t>Z-104</t>
  </si>
  <si>
    <t>Звезда ведомая (задняя)  JAWA (428*52)</t>
  </si>
  <si>
    <t>Z-84</t>
  </si>
  <si>
    <t>Звезда ведомая (задняя)  Восход (428*43)</t>
  </si>
  <si>
    <t>Z-85</t>
  </si>
  <si>
    <t>Звезда ведомая (задняя)  Иж со ступицей</t>
  </si>
  <si>
    <t>Z-91</t>
  </si>
  <si>
    <t>Звезда ведущая (передняя)  ИЖ 520*14</t>
  </si>
  <si>
    <t>Z-1010</t>
  </si>
  <si>
    <t>Звезда ведущая (передняя)  ИЖ 520*15</t>
  </si>
  <si>
    <t>Z-93</t>
  </si>
  <si>
    <t>Звезда ведущая (передняя)  ИЖ 520*17</t>
  </si>
  <si>
    <t>Z-1009</t>
  </si>
  <si>
    <t>Звезда ведущая (передняя)  ИЖ 520*19</t>
  </si>
  <si>
    <t>Z-95</t>
  </si>
  <si>
    <t>Звезда ведущая (передняя)  ИЖ 520*20</t>
  </si>
  <si>
    <t>Z-1050</t>
  </si>
  <si>
    <t>Звезда ведущая (передняя)  Минск 428*13</t>
  </si>
  <si>
    <t>Z-97</t>
  </si>
  <si>
    <t>Звезда ведущая (передняя)  Минск 428*14</t>
  </si>
  <si>
    <t>Z-98</t>
  </si>
  <si>
    <t>Звезда ведущая (передняя)  Минск 428*15</t>
  </si>
  <si>
    <t>Z-99</t>
  </si>
  <si>
    <t>Звезда ведущая (передняя)  Минск 428*16</t>
  </si>
  <si>
    <t>Z-100</t>
  </si>
  <si>
    <t>Звезда ведущая (передняя)  Минск 428*17</t>
  </si>
  <si>
    <t>Z-161</t>
  </si>
  <si>
    <t>Зеркала JAWA 350   TMMP</t>
  </si>
  <si>
    <t>Z-184</t>
  </si>
  <si>
    <t>Зеркала Днепр Мт овал хром Ø10mm</t>
  </si>
  <si>
    <t>Z-1045</t>
  </si>
  <si>
    <t>Зеркала Днепр Мт хром круглое</t>
  </si>
  <si>
    <t>Z-1103</t>
  </si>
  <si>
    <t>Зеркала Днепр Мт хром круглое (регулируемое)</t>
  </si>
  <si>
    <t>K-30</t>
  </si>
  <si>
    <t>Карбюратор JAWA-12v</t>
  </si>
  <si>
    <t>K-31</t>
  </si>
  <si>
    <t>Карбюратор JAWA-6v</t>
  </si>
  <si>
    <t>K-57</t>
  </si>
  <si>
    <t>Карбюратор К-60В</t>
  </si>
  <si>
    <t>K-48</t>
  </si>
  <si>
    <t>Карбюратор К-65Г</t>
  </si>
  <si>
    <t>K-49</t>
  </si>
  <si>
    <t>Карбюратор К-65Д</t>
  </si>
  <si>
    <t>K-50</t>
  </si>
  <si>
    <t>Карбюратор К-65И</t>
  </si>
  <si>
    <t>K-51</t>
  </si>
  <si>
    <t>Карбюратор К-65Т</t>
  </si>
  <si>
    <t>K-52</t>
  </si>
  <si>
    <t>Карбюратор К-68Д</t>
  </si>
  <si>
    <t>K-5218</t>
  </si>
  <si>
    <t>Карбюратор К-68И</t>
  </si>
  <si>
    <t>K-5398</t>
  </si>
  <si>
    <t>Карбюратор К-68У</t>
  </si>
  <si>
    <t>K-5322</t>
  </si>
  <si>
    <t>Карбюратор К-68У-01</t>
  </si>
  <si>
    <t>K-84</t>
  </si>
  <si>
    <t>Катушка зажигания JAWA 12 V</t>
  </si>
  <si>
    <t>K-85</t>
  </si>
  <si>
    <t>Катушка зажигания JAWA 6V</t>
  </si>
  <si>
    <t>K-95</t>
  </si>
  <si>
    <t>Катушка зажигания Днепр Мт 12v</t>
  </si>
  <si>
    <t>K-5163</t>
  </si>
  <si>
    <t>Катушка зажигания Днепр Мт 12v для бесконтактного зажигания</t>
  </si>
  <si>
    <t>K-96</t>
  </si>
  <si>
    <t>Катушка зажигания Днепр Мт 6v</t>
  </si>
  <si>
    <t>K-97</t>
  </si>
  <si>
    <t>Катушка зажигания Иж 12v</t>
  </si>
  <si>
    <t>K-98</t>
  </si>
  <si>
    <t>Катушка зажигания Иж 6v</t>
  </si>
  <si>
    <t>K-5229</t>
  </si>
  <si>
    <t>Клин ножки кикстартера Днепр МТ (M10x47mm)</t>
  </si>
  <si>
    <t>K-119</t>
  </si>
  <si>
    <t>Ключ зажигания JAWA-350  12v</t>
  </si>
  <si>
    <t>K-5121</t>
  </si>
  <si>
    <t>Ключ зажигания К-750</t>
  </si>
  <si>
    <t>K-5235</t>
  </si>
  <si>
    <t>Ключ свечной  (М18-М21 L=80mm)</t>
  </si>
  <si>
    <t>K-124</t>
  </si>
  <si>
    <t>Кнопка JAWA ближний дальний</t>
  </si>
  <si>
    <t>K-125</t>
  </si>
  <si>
    <t>Кнопка JAWA света и сигнала</t>
  </si>
  <si>
    <t>K-5107</t>
  </si>
  <si>
    <t>Кнопка поворота JAWA</t>
  </si>
  <si>
    <t>K-5136</t>
  </si>
  <si>
    <t>Кнопка стопа двигателя JAWA</t>
  </si>
  <si>
    <t>K-139</t>
  </si>
  <si>
    <t>Кожух задней звезды JAWA 350 12V металл</t>
  </si>
  <si>
    <t>K-140</t>
  </si>
  <si>
    <t>Кожух моторной звезды  JAWA-350</t>
  </si>
  <si>
    <t>K-147</t>
  </si>
  <si>
    <t>Коленвал Иж Планета с подшипником</t>
  </si>
  <si>
    <t>K-172</t>
  </si>
  <si>
    <t>Коленвал Иж Юпитер втулка</t>
  </si>
  <si>
    <t>K-173</t>
  </si>
  <si>
    <t>Коленвал Иж Юпитер сепаратор</t>
  </si>
  <si>
    <t>K-176</t>
  </si>
  <si>
    <t>Коленвал Минск 6v</t>
  </si>
  <si>
    <t>K-177</t>
  </si>
  <si>
    <t>Коленвал Муравей</t>
  </si>
  <si>
    <t>K-181</t>
  </si>
  <si>
    <t>Колени глушителя JAWA-350</t>
  </si>
  <si>
    <t>K-182</t>
  </si>
  <si>
    <t>Колени глушителя Днепр Мт</t>
  </si>
  <si>
    <t>K-185</t>
  </si>
  <si>
    <t>Колени глушителя Иж Юпитер</t>
  </si>
  <si>
    <t>K-184</t>
  </si>
  <si>
    <t>Колено глушителя Иж Планета</t>
  </si>
  <si>
    <t>K-207</t>
  </si>
  <si>
    <t>Колодки тормозные Иж задние суперкачество</t>
  </si>
  <si>
    <t>K-318</t>
  </si>
  <si>
    <t>Кольца  JAWA 12v  1-Р   TMMP</t>
  </si>
  <si>
    <t>K-319</t>
  </si>
  <si>
    <t>Кольца  JAWA 12v  2-Р   TMMP</t>
  </si>
  <si>
    <t>K-320</t>
  </si>
  <si>
    <t>Кольца  JAWA 12v  3-Р   TMMP</t>
  </si>
  <si>
    <t>K-5362</t>
  </si>
  <si>
    <t>Кольца  JAWA 12v  5-Р   TMMP</t>
  </si>
  <si>
    <t>K-5363</t>
  </si>
  <si>
    <t>Кольца  JAWA 12v  N   TMMP</t>
  </si>
  <si>
    <t>K-322</t>
  </si>
  <si>
    <t>Кольца  JAWA 6v  3-Р   TMMP</t>
  </si>
  <si>
    <t>K-323</t>
  </si>
  <si>
    <t>Кольца  JAWA 6v  4-Р   TMMP</t>
  </si>
  <si>
    <t>K-324</t>
  </si>
  <si>
    <t>Кольца  JAWA 6v  5-Р   TMMP</t>
  </si>
  <si>
    <t>K-325</t>
  </si>
  <si>
    <t>Кольца  JAWA 6v  6-Р   TMMP</t>
  </si>
  <si>
    <t>K-5364</t>
  </si>
  <si>
    <t>Кольца  JAWA 6v  N   TMMP</t>
  </si>
  <si>
    <t>K-5386</t>
  </si>
  <si>
    <t>Кольца Иж Юпитер 63,25  комплект 4-шт</t>
  </si>
  <si>
    <t>K-364</t>
  </si>
  <si>
    <t>Коммутатор Минск 6v</t>
  </si>
  <si>
    <t>K-381</t>
  </si>
  <si>
    <t>Конденсатор JAWA Tesla</t>
  </si>
  <si>
    <t>K-383</t>
  </si>
  <si>
    <t>Конденсатор генератора Днепр Мт</t>
  </si>
  <si>
    <t>K-382</t>
  </si>
  <si>
    <t>Конденсатор генератора Иж</t>
  </si>
  <si>
    <t>K-386</t>
  </si>
  <si>
    <t>Контакты JAWA</t>
  </si>
  <si>
    <t>K-390</t>
  </si>
  <si>
    <t>Концевой выключатель заднего тормоза (все китайцы, ИЖ, Минск) бараб. тормоз</t>
  </si>
  <si>
    <t>K-5126</t>
  </si>
  <si>
    <t>Корзина сцепления Карпаты</t>
  </si>
  <si>
    <t>K-406</t>
  </si>
  <si>
    <t>Коробка передач (в сборе)  Карпаты</t>
  </si>
  <si>
    <t>K-415</t>
  </si>
  <si>
    <t>Корпус приборов Иж</t>
  </si>
  <si>
    <t>K-438</t>
  </si>
  <si>
    <t>Корпус фонаря заднего Иж (морковка)</t>
  </si>
  <si>
    <t>K-449</t>
  </si>
  <si>
    <t>Кран топливный   JAWA 12V</t>
  </si>
  <si>
    <t>K-451</t>
  </si>
  <si>
    <t>Кран топливный   Иж</t>
  </si>
  <si>
    <t>K-453</t>
  </si>
  <si>
    <t>Кран топливный Днепр Мт</t>
  </si>
  <si>
    <t>K-5070</t>
  </si>
  <si>
    <t>Крепление конической пары МТ</t>
  </si>
  <si>
    <t>K-5420</t>
  </si>
  <si>
    <t>Крепления замка ИЖ (внутри панели приборов) 1шт</t>
  </si>
  <si>
    <t>K-470</t>
  </si>
  <si>
    <t>Крестовина Днепр Мт , Урал</t>
  </si>
  <si>
    <t>K-476</t>
  </si>
  <si>
    <t>Крыло заднее JAWA-350</t>
  </si>
  <si>
    <t>K-485</t>
  </si>
  <si>
    <t>Крыло переднее  Иж (хром)</t>
  </si>
  <si>
    <t>K-492</t>
  </si>
  <si>
    <t>Крышка бака Днепр Мт с замком хром</t>
  </si>
  <si>
    <t>K-491</t>
  </si>
  <si>
    <t>Крышка бака Иж с замком хром</t>
  </si>
  <si>
    <t>P-9042</t>
  </si>
  <si>
    <t>Крышка бака Иж чёрная с ключем</t>
  </si>
  <si>
    <t>K-494</t>
  </si>
  <si>
    <t>Крышка бардачка Иж правая</t>
  </si>
  <si>
    <t>K-530</t>
  </si>
  <si>
    <t>Крышка моста Днепр МТ (без шпилек)</t>
  </si>
  <si>
    <t>L-578</t>
  </si>
  <si>
    <t>Лампа фары 12V35/35 (1 ус HID, синяя)   TMMP</t>
  </si>
  <si>
    <t>L-5</t>
  </si>
  <si>
    <t>Лампа фары 6V25W25W JAWA  (груша)</t>
  </si>
  <si>
    <t>L-6</t>
  </si>
  <si>
    <t>Лампа фары груша 12V25W/25W</t>
  </si>
  <si>
    <t>M-53</t>
  </si>
  <si>
    <t>Муфта (в сборе) Днепр МТ</t>
  </si>
  <si>
    <t>N-24</t>
  </si>
  <si>
    <t>Насвечник IMC</t>
  </si>
  <si>
    <t>N-33</t>
  </si>
  <si>
    <t>Натяжители цепи колеса JAWA-350 пара</t>
  </si>
  <si>
    <t>N-34</t>
  </si>
  <si>
    <t>Натяжитель троса Карпаты</t>
  </si>
  <si>
    <t>N-66</t>
  </si>
  <si>
    <t>Ножка кикстартера JAWA-350</t>
  </si>
  <si>
    <t>N-5183</t>
  </si>
  <si>
    <t>Ножка кикстартера железная Минск</t>
  </si>
  <si>
    <t>N-74</t>
  </si>
  <si>
    <t>Ножка кикстартера Иж Планета старого образца</t>
  </si>
  <si>
    <t>N-75</t>
  </si>
  <si>
    <t>Ножка кикстартера Иж Юпитер</t>
  </si>
  <si>
    <t>N-59</t>
  </si>
  <si>
    <t>Ножка кикстартера Карпаты</t>
  </si>
  <si>
    <t>N-1014</t>
  </si>
  <si>
    <t>Ножка п/п Иж Планета</t>
  </si>
  <si>
    <t>N-80</t>
  </si>
  <si>
    <t>Ножка п/п Иж Юпитер</t>
  </si>
  <si>
    <t>N-82</t>
  </si>
  <si>
    <t>Ножка п/п Минск</t>
  </si>
  <si>
    <t>O-6</t>
  </si>
  <si>
    <t>Обтекатель JAWA (белый, под квадратную фару)</t>
  </si>
  <si>
    <t>O-7</t>
  </si>
  <si>
    <t>Обтекатель JAWA (красный, под квадратную фару)</t>
  </si>
  <si>
    <t>O-11</t>
  </si>
  <si>
    <t>Обтекатель JAWA (синий, под квадратную фару)</t>
  </si>
  <si>
    <t>O-12</t>
  </si>
  <si>
    <t>Обтекатель JAWA (чёрный, под квадратную фару)</t>
  </si>
  <si>
    <t>P-1</t>
  </si>
  <si>
    <t>Палец JAWA верхний (Ø16x50mm)</t>
  </si>
  <si>
    <t>P-4</t>
  </si>
  <si>
    <t>Палец Верховина Ø10mm</t>
  </si>
  <si>
    <t>P-5</t>
  </si>
  <si>
    <t>Палец Днепр Мт</t>
  </si>
  <si>
    <t>P-9723</t>
  </si>
  <si>
    <t>Палец Дырчик (под 50 куб.)</t>
  </si>
  <si>
    <t>P-6</t>
  </si>
  <si>
    <t>Палец Иж Планета (Ø15x62mm)</t>
  </si>
  <si>
    <t>P-7</t>
  </si>
  <si>
    <t>Палец Иж Юпитер (Ø14x51.3mm)</t>
  </si>
  <si>
    <t>P-8</t>
  </si>
  <si>
    <t>Палец Карпаты</t>
  </si>
  <si>
    <t>P-9</t>
  </si>
  <si>
    <t>Палец Минск</t>
  </si>
  <si>
    <t>P-10</t>
  </si>
  <si>
    <t>Палец Муравей</t>
  </si>
  <si>
    <t>P-52</t>
  </si>
  <si>
    <t>Переключатели руля Днепр Мт (металл)</t>
  </si>
  <si>
    <t>P-54</t>
  </si>
  <si>
    <t>Переключатели руля Иж Юпитер  (старого образца)</t>
  </si>
  <si>
    <t>P-60</t>
  </si>
  <si>
    <t>Переключатель руля  JAWA-350  (левый+правый)</t>
  </si>
  <si>
    <t>P-64</t>
  </si>
  <si>
    <t>Переключатель руля Минск левый с проводами</t>
  </si>
  <si>
    <t>P-72</t>
  </si>
  <si>
    <t>Переходник на один карбюратор Днепр Мт</t>
  </si>
  <si>
    <t>P-73</t>
  </si>
  <si>
    <t>Переходник свечи гужон 2Т</t>
  </si>
  <si>
    <t>P-9799</t>
  </si>
  <si>
    <t>Переходники карбюратора (перевёртыши)  Днепр МТ (без болтов)</t>
  </si>
  <si>
    <t>P-116</t>
  </si>
  <si>
    <t>Плата контактов JAWA-350</t>
  </si>
  <si>
    <t>P-9026</t>
  </si>
  <si>
    <t>ПМ Днепр МТ</t>
  </si>
  <si>
    <t>F-131</t>
  </si>
  <si>
    <t>Повороты JAWA-350 к-т (два длинных и два коротких)</t>
  </si>
  <si>
    <t>P-9795</t>
  </si>
  <si>
    <t>Повороты ИЖ  (два длинных и два коротких)</t>
  </si>
  <si>
    <t>P-128</t>
  </si>
  <si>
    <t>Подшипник 16013[65x100x11]</t>
  </si>
  <si>
    <t>P-129</t>
  </si>
  <si>
    <t>Подшипник 42209</t>
  </si>
  <si>
    <t>P-137</t>
  </si>
  <si>
    <t>Подшипник JAWA  ZKL 6305</t>
  </si>
  <si>
    <t>P-138</t>
  </si>
  <si>
    <t>Подшипник JAWA ZKL 3205</t>
  </si>
  <si>
    <t>P-139</t>
  </si>
  <si>
    <t>Подшипник JAWA ZKL 6303</t>
  </si>
  <si>
    <t>P-140</t>
  </si>
  <si>
    <t>Подшипник JAWA ZKL 6306</t>
  </si>
  <si>
    <t>P-150</t>
  </si>
  <si>
    <t>Подшипник Днепр Мт моста двухрядный  3304</t>
  </si>
  <si>
    <t>P-9739</t>
  </si>
  <si>
    <t>Подшипник коленвал JAWA 6205   ZVL</t>
  </si>
  <si>
    <t>P-145</t>
  </si>
  <si>
    <t>Подшипник коленвал Иж Планета 2505 пара</t>
  </si>
  <si>
    <t>P-149</t>
  </si>
  <si>
    <t>Подшипник колеса Днепр Мт 30204</t>
  </si>
  <si>
    <t>P-160</t>
  </si>
  <si>
    <t>Подшипник руля Днепр Мт 707</t>
  </si>
  <si>
    <t>P-159</t>
  </si>
  <si>
    <t>Подшипник руля Иж 706</t>
  </si>
  <si>
    <t>P-316</t>
  </si>
  <si>
    <t>Поршень (в сборе) JAWA 12v  1P</t>
  </si>
  <si>
    <t>P-317</t>
  </si>
  <si>
    <t>Поршень (в сборе) JAWA 12v  2P</t>
  </si>
  <si>
    <t>P-322</t>
  </si>
  <si>
    <t>Поршень (в сборе) JAWA 6v  1P</t>
  </si>
  <si>
    <t>P-323</t>
  </si>
  <si>
    <t>Поршень (в сборе) JAWA 6v  2Р</t>
  </si>
  <si>
    <t>P-326</t>
  </si>
  <si>
    <t>Поршень (в сборе) JAWA 6v  5P</t>
  </si>
  <si>
    <t>P-327</t>
  </si>
  <si>
    <t>Поршень (в сборе) JAWA 6v  6P</t>
  </si>
  <si>
    <t>P-364</t>
  </si>
  <si>
    <t>Поршень Верховина  0</t>
  </si>
  <si>
    <t>P-365</t>
  </si>
  <si>
    <t>Поршень Верховина  00</t>
  </si>
  <si>
    <t>P-366</t>
  </si>
  <si>
    <t>Поршень Верховина  000</t>
  </si>
  <si>
    <t>P-367</t>
  </si>
  <si>
    <t>Поршень Верховина  1р</t>
  </si>
  <si>
    <t>P-363</t>
  </si>
  <si>
    <t>Поршень Верховина  2р</t>
  </si>
  <si>
    <t>P-9620</t>
  </si>
  <si>
    <t>Поршень Верховина 3р</t>
  </si>
  <si>
    <t>P-371</t>
  </si>
  <si>
    <t>Поршень Восход  0</t>
  </si>
  <si>
    <t>P-372</t>
  </si>
  <si>
    <t>Поршень Восход  00</t>
  </si>
  <si>
    <t>P-373</t>
  </si>
  <si>
    <t>Поршень Восход  000</t>
  </si>
  <si>
    <t>P-368</t>
  </si>
  <si>
    <t>Поршень Восход  1р</t>
  </si>
  <si>
    <t>P-369</t>
  </si>
  <si>
    <t>Поршень Восход  2р</t>
  </si>
  <si>
    <t>P-370</t>
  </si>
  <si>
    <t>Поршень Восход  3р</t>
  </si>
  <si>
    <t>P-374</t>
  </si>
  <si>
    <t>Поршень Восход "Сова" 0</t>
  </si>
  <si>
    <t>P-375</t>
  </si>
  <si>
    <t>Поршень Восход "Сова" 00</t>
  </si>
  <si>
    <t>P-376</t>
  </si>
  <si>
    <t>Поршень Восход "Сова" 000</t>
  </si>
  <si>
    <t>P-379</t>
  </si>
  <si>
    <t>Поршень Днепр МТ   1р</t>
  </si>
  <si>
    <t>P-380</t>
  </si>
  <si>
    <t>Поршень Днепр МТ   2р</t>
  </si>
  <si>
    <t>P-381</t>
  </si>
  <si>
    <t>Поршень Днепр МТ   3р</t>
  </si>
  <si>
    <t>P-383</t>
  </si>
  <si>
    <t>Поршень Днепр МТ   96</t>
  </si>
  <si>
    <t>P-384</t>
  </si>
  <si>
    <t>Поршень Днепр МТ   97</t>
  </si>
  <si>
    <t>P-385</t>
  </si>
  <si>
    <t>Поршень Днепр МТ   98</t>
  </si>
  <si>
    <t>P-386</t>
  </si>
  <si>
    <t>Поршень Дырчик   0</t>
  </si>
  <si>
    <t>P-387</t>
  </si>
  <si>
    <t>Поршень Дырчик   00</t>
  </si>
  <si>
    <t>P-388</t>
  </si>
  <si>
    <t>Поршень Дырчик   000</t>
  </si>
  <si>
    <t>P-389</t>
  </si>
  <si>
    <t>Поршень Дырчик   1р</t>
  </si>
  <si>
    <t>P-390</t>
  </si>
  <si>
    <t>Поршень Дырчик   2р</t>
  </si>
  <si>
    <t>P-396</t>
  </si>
  <si>
    <t>Поршень Иж Планета   0</t>
  </si>
  <si>
    <t>P-397</t>
  </si>
  <si>
    <t>Поршень Иж Планета   00</t>
  </si>
  <si>
    <t>P-394</t>
  </si>
  <si>
    <t>Поршень Иж Планета   000</t>
  </si>
  <si>
    <t>P-395</t>
  </si>
  <si>
    <t>Поршень Иж Планета   1р</t>
  </si>
  <si>
    <t>P-398</t>
  </si>
  <si>
    <t>Поршень Иж Планета  "Спорт "  0</t>
  </si>
  <si>
    <t>P-399</t>
  </si>
  <si>
    <t>Поршень Иж Планета  "Спорт "  00</t>
  </si>
  <si>
    <t>P-400</t>
  </si>
  <si>
    <t>Поршень Иж Планета  "Спорт "  000</t>
  </si>
  <si>
    <t>P-403</t>
  </si>
  <si>
    <t>Поршень Иж Юпитер   0</t>
  </si>
  <si>
    <t>P-404</t>
  </si>
  <si>
    <t>Поршень Иж Юпитер  00</t>
  </si>
  <si>
    <t>P-405</t>
  </si>
  <si>
    <t>Поршень Иж Юпитер  000</t>
  </si>
  <si>
    <t>P-406</t>
  </si>
  <si>
    <t>Поршень Иж Юпитер  1р</t>
  </si>
  <si>
    <t>P-408</t>
  </si>
  <si>
    <t>Поршень Иж Юпитер  3р</t>
  </si>
  <si>
    <t>P-409</t>
  </si>
  <si>
    <t>Поршень Иж Юпитер  4р</t>
  </si>
  <si>
    <t>P-410</t>
  </si>
  <si>
    <t>Поршень К-750  1р</t>
  </si>
  <si>
    <t>P-411</t>
  </si>
  <si>
    <t>Поршень К-750  2р</t>
  </si>
  <si>
    <t>P-412</t>
  </si>
  <si>
    <t>Поршень К-750  3р</t>
  </si>
  <si>
    <t>P-413</t>
  </si>
  <si>
    <t>Поршень К-750  93</t>
  </si>
  <si>
    <t>P-880</t>
  </si>
  <si>
    <t>Поршень К-750  95</t>
  </si>
  <si>
    <t>P-961</t>
  </si>
  <si>
    <t>Поршень К-750  96</t>
  </si>
  <si>
    <t>P-414</t>
  </si>
  <si>
    <t>Поршень К-750  98</t>
  </si>
  <si>
    <t>P-416</t>
  </si>
  <si>
    <t>Поршень Карпаты  00</t>
  </si>
  <si>
    <t>P-417</t>
  </si>
  <si>
    <t>Поршень Карпаты  000</t>
  </si>
  <si>
    <t>P-418</t>
  </si>
  <si>
    <t>Поршень Карпаты  1р</t>
  </si>
  <si>
    <t>P-419</t>
  </si>
  <si>
    <t>Поршень Карпаты  2р</t>
  </si>
  <si>
    <t>P-420</t>
  </si>
  <si>
    <t>Поршень Карпаты  3р</t>
  </si>
  <si>
    <t>P-421</t>
  </si>
  <si>
    <t>Поршень Минск  0</t>
  </si>
  <si>
    <t>P-422</t>
  </si>
  <si>
    <t>Поршень Минск  00</t>
  </si>
  <si>
    <t>P-423</t>
  </si>
  <si>
    <t>Поршень Минск  000</t>
  </si>
  <si>
    <t>P-424</t>
  </si>
  <si>
    <t>Поршень Минск  1р</t>
  </si>
  <si>
    <t>P-425</t>
  </si>
  <si>
    <t>Поршень Минск  2р</t>
  </si>
  <si>
    <t>P-426</t>
  </si>
  <si>
    <t>Поршень Минск  3р</t>
  </si>
  <si>
    <t>P-427</t>
  </si>
  <si>
    <t>Поршень Минск  4р</t>
  </si>
  <si>
    <t>P-429</t>
  </si>
  <si>
    <t>Поршень Муравей  00</t>
  </si>
  <si>
    <t>P-430</t>
  </si>
  <si>
    <t>Поршень Муравей  000</t>
  </si>
  <si>
    <t>P-431</t>
  </si>
  <si>
    <t>Поршень Муравей  1р</t>
  </si>
  <si>
    <t>P-432</t>
  </si>
  <si>
    <t>Поршень Муравей  2р</t>
  </si>
  <si>
    <t>P-9622</t>
  </si>
  <si>
    <t>Поршень Муравей  3р</t>
  </si>
  <si>
    <t>P-433</t>
  </si>
  <si>
    <t>Поршень Тула  0</t>
  </si>
  <si>
    <t>P-434</t>
  </si>
  <si>
    <t>Поршень Тула  00</t>
  </si>
  <si>
    <t>P-435</t>
  </si>
  <si>
    <t>Поршень Тула  000</t>
  </si>
  <si>
    <t>P-437</t>
  </si>
  <si>
    <t>Поршень Тула  2р</t>
  </si>
  <si>
    <t>P-438</t>
  </si>
  <si>
    <t>Поршень Тула  3р</t>
  </si>
  <si>
    <t>P-439</t>
  </si>
  <si>
    <t>Поршень Урал  1р</t>
  </si>
  <si>
    <t>P-440</t>
  </si>
  <si>
    <t>Поршень Урал  2р</t>
  </si>
  <si>
    <t>P-441</t>
  </si>
  <si>
    <t>Поршень Урал  3р</t>
  </si>
  <si>
    <t>P-444</t>
  </si>
  <si>
    <t>Поршень Урал  В</t>
  </si>
  <si>
    <t>P-443</t>
  </si>
  <si>
    <t>Поршень Урал  С</t>
  </si>
  <si>
    <t>P-467</t>
  </si>
  <si>
    <t>Прерыватель Дырчик</t>
  </si>
  <si>
    <t>P-468</t>
  </si>
  <si>
    <t>Прерыватель Иж Планета</t>
  </si>
  <si>
    <t>P-469</t>
  </si>
  <si>
    <t>Прерыватель Иж Юпитер</t>
  </si>
  <si>
    <t>P-9003</t>
  </si>
  <si>
    <t>Прерыватель Муравей</t>
  </si>
  <si>
    <t>P-518</t>
  </si>
  <si>
    <t>Проводка JAWA 6V</t>
  </si>
  <si>
    <t>P-9797</t>
  </si>
  <si>
    <t>Проводка К-750</t>
  </si>
  <si>
    <t>P-9796</t>
  </si>
  <si>
    <t>Проводка Муравей</t>
  </si>
  <si>
    <t>P-9474</t>
  </si>
  <si>
    <t>Прокладка головки цилиндра Иж Планета (медь)   VS</t>
  </si>
  <si>
    <t>P-9461</t>
  </si>
  <si>
    <t>Прокладка цилиндра Урал (паронит, 2шт)   VS</t>
  </si>
  <si>
    <t>R-32</t>
  </si>
  <si>
    <t>Реле Днепр МТ 3702</t>
  </si>
  <si>
    <t>R-33</t>
  </si>
  <si>
    <t>Реле Иж РР-1</t>
  </si>
  <si>
    <t>R-44</t>
  </si>
  <si>
    <t>Реле поворотов JAWA-350    12V</t>
  </si>
  <si>
    <t>R-45</t>
  </si>
  <si>
    <t>Реле поворотов JAWA-350    6V</t>
  </si>
  <si>
    <t>R-67</t>
  </si>
  <si>
    <t>Реле тока JAWA  14V старого образца</t>
  </si>
  <si>
    <t>R-68</t>
  </si>
  <si>
    <t>Реле тока JAWA 12v</t>
  </si>
  <si>
    <t>R-119</t>
  </si>
  <si>
    <t>Ремкомплект карбюратора JAWA 12V</t>
  </si>
  <si>
    <t>R-120</t>
  </si>
  <si>
    <t>Ремкомплект карбюратора JAWA 6V</t>
  </si>
  <si>
    <t>R-1031</t>
  </si>
  <si>
    <t>Ремкомплект карбюратора К-60В (Карпаты)</t>
  </si>
  <si>
    <t>R-1035</t>
  </si>
  <si>
    <t>Ремкомплект карбюратора К-68И</t>
  </si>
  <si>
    <t>R-167</t>
  </si>
  <si>
    <t>Ручка газа  JAWA-350</t>
  </si>
  <si>
    <t>R-210</t>
  </si>
  <si>
    <t>Ручки выжимные руля "рыбки" Днепр Мт</t>
  </si>
  <si>
    <t>R-1146</t>
  </si>
  <si>
    <t>Ручки пассажира (сиденья)  JAWA (пара, чёрные, глянцевые)</t>
  </si>
  <si>
    <t>R-1145</t>
  </si>
  <si>
    <t>Ручки пассажира (сиденья)  JAWA (пара, чёрные, матовые)</t>
  </si>
  <si>
    <t>S-2</t>
  </si>
  <si>
    <t>Сайлентблок амортизатора JAWA</t>
  </si>
  <si>
    <t>S-6</t>
  </si>
  <si>
    <t>Сайлентблок амортизатора Минск</t>
  </si>
  <si>
    <t>S-27</t>
  </si>
  <si>
    <t>Сальники JAWA 12v (набор)</t>
  </si>
  <si>
    <t>S-28</t>
  </si>
  <si>
    <t>Сальники JAWA 6V (набор)</t>
  </si>
  <si>
    <t>S-38</t>
  </si>
  <si>
    <t>Сальники Днепр Мт (полный набор, качественные)</t>
  </si>
  <si>
    <t>S-31</t>
  </si>
  <si>
    <t>Сальники Иж Планета (набор)   TMMP</t>
  </si>
  <si>
    <t>S-32</t>
  </si>
  <si>
    <t>Сальники Иж Юпитер (набор)   TMMP</t>
  </si>
  <si>
    <t>S-41</t>
  </si>
  <si>
    <t>Сальники Урал (набор)</t>
  </si>
  <si>
    <t>S-5216</t>
  </si>
  <si>
    <t>Сектор кикстартера Восход</t>
  </si>
  <si>
    <t>S-63</t>
  </si>
  <si>
    <t>Сектор кикстартера Иж</t>
  </si>
  <si>
    <t>S-5220</t>
  </si>
  <si>
    <t>Сектор кикстартера Минск</t>
  </si>
  <si>
    <t>S-75</t>
  </si>
  <si>
    <t>Сепаратор верхний JAWA (16x20x19.6 mm)</t>
  </si>
  <si>
    <t>S-92</t>
  </si>
  <si>
    <t>Сепаратор верхний ИЖ Юпитер (14x18x25 mm)</t>
  </si>
  <si>
    <t>S-77</t>
  </si>
  <si>
    <t>Сепаратор Минск верхний</t>
  </si>
  <si>
    <t>S-78</t>
  </si>
  <si>
    <t>Сепаратор Минск/ИЖ Юпитер нижний</t>
  </si>
  <si>
    <t>S-5225</t>
  </si>
  <si>
    <t>Сепаратор нижний (медь) Карпаты</t>
  </si>
  <si>
    <t>S-93</t>
  </si>
  <si>
    <t>Сепаратор нижний JAWA 350 (22x29x16 mm, медный)</t>
  </si>
  <si>
    <t>S-79</t>
  </si>
  <si>
    <t>Сепаратор нижний Иж Планета (29x37x16 mm, медный)</t>
  </si>
  <si>
    <t>S-96</t>
  </si>
  <si>
    <t>Сетка бака Днепр Мт</t>
  </si>
  <si>
    <t>S-121</t>
  </si>
  <si>
    <t>Сиденье Иж с морковкой</t>
  </si>
  <si>
    <t>S-5275</t>
  </si>
  <si>
    <t>Система безконтактного зажигания Днепр МТ</t>
  </si>
  <si>
    <t>S-137</t>
  </si>
  <si>
    <t>Спица Днепр Мт (Ø4.45*120mm 1шт)</t>
  </si>
  <si>
    <t>S-138</t>
  </si>
  <si>
    <t>Спица Иж (1 шт)</t>
  </si>
  <si>
    <t>S-5230</t>
  </si>
  <si>
    <t>Спица Урал (Ø4.45*125mm 1шт, короткая)</t>
  </si>
  <si>
    <t>S-5336</t>
  </si>
  <si>
    <t>Стакан (корпус) приборов JAWA</t>
  </si>
  <si>
    <t>S-5628</t>
  </si>
  <si>
    <t>Стекло поворота JAWA-350</t>
  </si>
  <si>
    <t>S-179</t>
  </si>
  <si>
    <t>Стекло стопа JAWA-350</t>
  </si>
  <si>
    <t>P-117</t>
  </si>
  <si>
    <t>Столик сцепления JAWA</t>
  </si>
  <si>
    <t>F-168</t>
  </si>
  <si>
    <t>Стоп (в сборе) JAWA-350</t>
  </si>
  <si>
    <t>F-181</t>
  </si>
  <si>
    <t>Стоп (в сборе) ИЖ Юпитер</t>
  </si>
  <si>
    <t>S-5651</t>
  </si>
  <si>
    <t>Сьёмник корзины сцепления JAWA 12V</t>
  </si>
  <si>
    <t>T-10</t>
  </si>
  <si>
    <t>Тахометр JAWA ( 1 прибор тахометра )</t>
  </si>
  <si>
    <t>T-41</t>
  </si>
  <si>
    <t>Трос газа JAWA-350 (L=1165mm)</t>
  </si>
  <si>
    <t>T-54</t>
  </si>
  <si>
    <t>Трос газа Минск (L=1235mm)</t>
  </si>
  <si>
    <t>T-32</t>
  </si>
  <si>
    <t>Трос газа Муравей</t>
  </si>
  <si>
    <t>T-33</t>
  </si>
  <si>
    <t>Трос газа Урал (L=1235mm)</t>
  </si>
  <si>
    <t>T-64</t>
  </si>
  <si>
    <t>Трос заднего тормоза JAWA (L=575mm)</t>
  </si>
  <si>
    <t>T-69</t>
  </si>
  <si>
    <t>Трос переднего тормоза JAWA-350</t>
  </si>
  <si>
    <t>T-75</t>
  </si>
  <si>
    <t>Трос переднего тормоза Днепр МТ  (L=1230mm)</t>
  </si>
  <si>
    <t>T-73</t>
  </si>
  <si>
    <t>Трос переднего тормоза Иж (L=1180mm)</t>
  </si>
  <si>
    <t>T-74</t>
  </si>
  <si>
    <t>Трос переднего тормоза Минск</t>
  </si>
  <si>
    <t>T-90</t>
  </si>
  <si>
    <t>Трос спидометра JAWA-350 (L=1050mm)</t>
  </si>
  <si>
    <t>T-96</t>
  </si>
  <si>
    <t>Трос спидометра Днепр МТ (L=1150mm)</t>
  </si>
  <si>
    <t>T-98</t>
  </si>
  <si>
    <t>Трос спидометра Минск</t>
  </si>
  <si>
    <t>T-106</t>
  </si>
  <si>
    <t>Трос сцепления JAWA 12V с натяжителем (L=1345mm)</t>
  </si>
  <si>
    <t>T-112</t>
  </si>
  <si>
    <t>Трос сцепления Днепр МТ (L=1215mm)</t>
  </si>
  <si>
    <t>T-110</t>
  </si>
  <si>
    <t>Трос сцепления Иж (L=1145mm)</t>
  </si>
  <si>
    <t>T-111</t>
  </si>
  <si>
    <t>Трос сцепления Минск (L=1190mm)</t>
  </si>
  <si>
    <t>T-114</t>
  </si>
  <si>
    <t>Трос тахометра JAWA-350</t>
  </si>
  <si>
    <t>F-1023</t>
  </si>
  <si>
    <t>Фара квадратная двойная белая</t>
  </si>
  <si>
    <t>K-5135</t>
  </si>
  <si>
    <t>Фильтр воздушный (в сборе, с фильтром) Карпаты</t>
  </si>
  <si>
    <t>K-437</t>
  </si>
  <si>
    <t>Фильтр воздушный (в сборе) Иж Юпитер</t>
  </si>
  <si>
    <t>F-124</t>
  </si>
  <si>
    <t>Флянец крепления глушителя Иж Планета</t>
  </si>
  <si>
    <t>H-2</t>
  </si>
  <si>
    <t>Хомут ножки кикстартера Иж</t>
  </si>
  <si>
    <t>H-1006</t>
  </si>
  <si>
    <t>Хомут ножки п/п  Муравей</t>
  </si>
  <si>
    <t>C-1076</t>
  </si>
  <si>
    <t>Цепочка газа  Днепр МТ</t>
  </si>
  <si>
    <t>C-1057</t>
  </si>
  <si>
    <t>Цепь моторная JAWA (SZ35 *66L)   FAVORIT</t>
  </si>
  <si>
    <t>C-137</t>
  </si>
  <si>
    <t>Цилиндр (в сборе)  JAWA-350  6V (комплект)</t>
  </si>
  <si>
    <t>C-138</t>
  </si>
  <si>
    <t>Цилиндр (в сборе)  JAWA-350 12V (комплект)</t>
  </si>
  <si>
    <t>C-47</t>
  </si>
  <si>
    <t>Цилиндр (в сборе)  Дырчик</t>
  </si>
  <si>
    <t>C-139</t>
  </si>
  <si>
    <t>Цилиндр (в сборе)  Иж Юпитер-5  (комплект)</t>
  </si>
  <si>
    <t>C-132</t>
  </si>
  <si>
    <t>Цилиндр (голый) Восход</t>
  </si>
  <si>
    <t>C-1031</t>
  </si>
  <si>
    <t>Цилиндр (голый) Муравей</t>
  </si>
  <si>
    <t>C-136</t>
  </si>
  <si>
    <t>Цилиндр мото "Урал" к-т без поршней</t>
  </si>
  <si>
    <t>E-29</t>
  </si>
  <si>
    <t>Чехол сиденья JAWA 12v</t>
  </si>
  <si>
    <t>E-30</t>
  </si>
  <si>
    <t>Чехол сиденья JAWA 6v</t>
  </si>
  <si>
    <t>J-10</t>
  </si>
  <si>
    <t>Шатун коленвала JAWA-350 (пара)</t>
  </si>
  <si>
    <t>J-6</t>
  </si>
  <si>
    <t>Шатун коленвала Иж Юпитер (втулка, пара)</t>
  </si>
  <si>
    <t>J-8</t>
  </si>
  <si>
    <t>Шатун коленвала ИЖ Юпитер (сепаратор, пара)</t>
  </si>
  <si>
    <t>J-17</t>
  </si>
  <si>
    <t>Шестерни распредвала Урал</t>
  </si>
  <si>
    <t>J-18</t>
  </si>
  <si>
    <t>Шестерня генератора Урал</t>
  </si>
  <si>
    <t>J-31</t>
  </si>
  <si>
    <t>Шестерня сцепления JAWA-350</t>
  </si>
  <si>
    <t>J-114</t>
  </si>
  <si>
    <t>Шпонка Иж овал</t>
  </si>
  <si>
    <t>J-115</t>
  </si>
  <si>
    <t>Шпонка Иж полумесяц</t>
  </si>
  <si>
    <t>J-137</t>
  </si>
  <si>
    <t>Щётки генератора JAWA 12v</t>
  </si>
  <si>
    <t>J-138</t>
  </si>
  <si>
    <t>Щётки генератора JAWA 6v</t>
  </si>
  <si>
    <t>J-3176</t>
  </si>
  <si>
    <t>Щётки генератора Днепр МТ 6V</t>
  </si>
  <si>
    <t>X-5</t>
  </si>
  <si>
    <t>Якорь генератора JAWA 12V (4 лепестка)</t>
  </si>
  <si>
    <t>X-2</t>
  </si>
  <si>
    <t>Якорь генератора JAWA-350 6V</t>
  </si>
  <si>
    <t>X-3</t>
  </si>
  <si>
    <t>Якорь генератора Иж 12v</t>
  </si>
  <si>
    <t>X-4</t>
  </si>
  <si>
    <t>Якорь генератора Иж 6в</t>
  </si>
  <si>
    <t>G-9343</t>
  </si>
  <si>
    <t>Гайка регулировки клапанов 168F (комплект, 2 пары)</t>
  </si>
  <si>
    <t>D-1045</t>
  </si>
  <si>
    <t>Датчик масла 168F</t>
  </si>
  <si>
    <t>D-1027</t>
  </si>
  <si>
    <t>Двигатель 170F  d=25mm под шлиц  (7,5 HP, датчик масла , бумажный фильтр)</t>
  </si>
  <si>
    <t>H-1045</t>
  </si>
  <si>
    <t>Звезда коленвала 168F (узкая)</t>
  </si>
  <si>
    <t>I-1062</t>
  </si>
  <si>
    <t>Инверторный бензиновый генератор 2 кВт (50 Hz/синус ,152F,бак 3,8 л, масло 0,4л, ручной стартер )</t>
  </si>
  <si>
    <t>I-1063</t>
  </si>
  <si>
    <t>Инверторный бензиновый генератор 3 кВт (50 Hz/синус ,170F,бак 7,4 л, масло 0,6л, электростартер )</t>
  </si>
  <si>
    <t>K-5248</t>
  </si>
  <si>
    <t>Катушка генератора 168F</t>
  </si>
  <si>
    <t>K-5251</t>
  </si>
  <si>
    <t>Кожух воздухозаборника 168F</t>
  </si>
  <si>
    <t>K-5254</t>
  </si>
  <si>
    <t>Коленвал 168F под шпонку (d=19mm)</t>
  </si>
  <si>
    <t>K-5257</t>
  </si>
  <si>
    <t>Кольца 168F  +0.50 (Ø68.50mm)</t>
  </si>
  <si>
    <t>K-5260</t>
  </si>
  <si>
    <t>Кольца 170F  +0.50 (Ø70.50mm)</t>
  </si>
  <si>
    <t>K-5263</t>
  </si>
  <si>
    <t>Коромысла клапанов 168F (пара)</t>
  </si>
  <si>
    <t>P-9605</t>
  </si>
  <si>
    <t>Крышка бака 168F</t>
  </si>
  <si>
    <t>P-9595</t>
  </si>
  <si>
    <t>Палец поршневой  168F</t>
  </si>
  <si>
    <t>P-9597</t>
  </si>
  <si>
    <t>Подшипник коленвала 168F (2шт)</t>
  </si>
  <si>
    <t>P-9598</t>
  </si>
  <si>
    <t>Поршень (в сборе) 168F  +0,25 (Ø68.25mm)</t>
  </si>
  <si>
    <t>P-9599</t>
  </si>
  <si>
    <t>Поршень (в сборе) 168F  +0,50 (Ø68.50mm)</t>
  </si>
  <si>
    <t>P-9601</t>
  </si>
  <si>
    <t>Поршень (в сборе) 170F  +0.25 (Ø70.25mm)</t>
  </si>
  <si>
    <t>P-9602</t>
  </si>
  <si>
    <t>Поршень (в сборе) 170F  +0.50 (Ø70.50mm)</t>
  </si>
  <si>
    <t>P-9606</t>
  </si>
  <si>
    <t>Пробка уровня масла 168F</t>
  </si>
  <si>
    <t>S-5304</t>
  </si>
  <si>
    <t>Стопорные кольца 168F (комплект)</t>
  </si>
  <si>
    <t>T-1035</t>
  </si>
  <si>
    <t>Трос газа 168F (L=1210mm)</t>
  </si>
  <si>
    <t>T-1037</t>
  </si>
  <si>
    <t>Трос сцепления 168F (L=940mm)</t>
  </si>
  <si>
    <t>F-1091</t>
  </si>
  <si>
    <t>Фильтр топливный 168F</t>
  </si>
  <si>
    <t>H-1046</t>
  </si>
  <si>
    <t>Шестерня коленвала широкая 168F</t>
  </si>
  <si>
    <t>H-1048</t>
  </si>
  <si>
    <t>Шкив привода 168F  (алюминий  2 ручья d=20mm, шпонка)</t>
  </si>
  <si>
    <t>H-1054</t>
  </si>
  <si>
    <t>Штанга клапанов 168F  (пара)</t>
  </si>
  <si>
    <t>H-1055</t>
  </si>
  <si>
    <t>Щуп масла 168F</t>
  </si>
  <si>
    <t>B-79</t>
  </si>
  <si>
    <t>Бензобак коса (4 крепления)</t>
  </si>
  <si>
    <t>B-58</t>
  </si>
  <si>
    <t>Бензобак коса боковой патрубок</t>
  </si>
  <si>
    <t>B-59</t>
  </si>
  <si>
    <t>Бензобак коса прямой</t>
  </si>
  <si>
    <t>B-87</t>
  </si>
  <si>
    <t>Бензокоса REHER 2.8kWt (Нож 3Т, шпуля,лямка, набор инструментов , бутылка )</t>
  </si>
  <si>
    <t>B-88</t>
  </si>
  <si>
    <t>Бензокоса REHER 2.8kWt (Нож 3Т, шпуля,лямка, набор инструментов , бутылка ) URAL</t>
  </si>
  <si>
    <t>J-87</t>
  </si>
  <si>
    <t>Бензошланг коса (в сборе ) с фильтром</t>
  </si>
  <si>
    <t>B-55</t>
  </si>
  <si>
    <t>Болты сцепления  1E40F (пара)</t>
  </si>
  <si>
    <t>V-1</t>
  </si>
  <si>
    <t>Вал 4*4 d=8mm 1E40F</t>
  </si>
  <si>
    <t>V-2</t>
  </si>
  <si>
    <t>Вал 7*7 d=7mm 1E40F</t>
  </si>
  <si>
    <t>V-3</t>
  </si>
  <si>
    <t>Вал 7*7 d=8mm 1E40F</t>
  </si>
  <si>
    <t>V-4</t>
  </si>
  <si>
    <t>Вал 9*9 d=8mm 1E40F</t>
  </si>
  <si>
    <t>V-73</t>
  </si>
  <si>
    <t>Втулки в штангу 23,5*7mm (5шт) 1E40F</t>
  </si>
  <si>
    <t>V-74</t>
  </si>
  <si>
    <t>Втулки в штангу 23,5*8 mm ( 5 pcs ) 1E40F</t>
  </si>
  <si>
    <t>V-75</t>
  </si>
  <si>
    <t>Втулки в штангу 25,5*8 mm  ( 5 pcs ) 1E40F</t>
  </si>
  <si>
    <t>G-2</t>
  </si>
  <si>
    <t>Гайка крепления ножа коса</t>
  </si>
  <si>
    <t>G-63</t>
  </si>
  <si>
    <t>Глушитель 1E40F</t>
  </si>
  <si>
    <t>D-43</t>
  </si>
  <si>
    <t>Демпферная резинка верхнего редуктора 1E40F 26 mm</t>
  </si>
  <si>
    <t>D-44</t>
  </si>
  <si>
    <t>Демпферная резинка верхнего редуктора 1E40F 28 mm</t>
  </si>
  <si>
    <t>D-1030</t>
  </si>
  <si>
    <t>Демпферная резинка верхнего редуктора 26 mm тип 2</t>
  </si>
  <si>
    <t>D-1031</t>
  </si>
  <si>
    <t>Демпферная резинка верхнего редуктора 28 mm тип 2</t>
  </si>
  <si>
    <t>Z-1</t>
  </si>
  <si>
    <t>Заглушка бака косы</t>
  </si>
  <si>
    <t>Z-28</t>
  </si>
  <si>
    <t>Защита ( в сборе) ножа косы</t>
  </si>
  <si>
    <t>Z-26</t>
  </si>
  <si>
    <t>Защита бака металл</t>
  </si>
  <si>
    <t>Z-27</t>
  </si>
  <si>
    <t>Защита бака цельная металл</t>
  </si>
  <si>
    <t>K-19</t>
  </si>
  <si>
    <t>Карбюратор 1E36F (d=11mm)   AKME</t>
  </si>
  <si>
    <t>K-20</t>
  </si>
  <si>
    <t>Карбюратор 1E40F (d=15mm)   AKME</t>
  </si>
  <si>
    <t>K-5411</t>
  </si>
  <si>
    <t>Карбюратор 1E40F (d=15mm)   AKME+</t>
  </si>
  <si>
    <t>K-5314</t>
  </si>
  <si>
    <t>Картер (в сборе) 1E40F с коленвалом</t>
  </si>
  <si>
    <t>K-5406</t>
  </si>
  <si>
    <t>Картер фрезы тип 2 (штанга 26mm/правая сторона)</t>
  </si>
  <si>
    <t>K-5405</t>
  </si>
  <si>
    <t>Картер фрезы тип 2 (штанга 28mm/левая сторона)</t>
  </si>
  <si>
    <t>K-70</t>
  </si>
  <si>
    <t>Катушка зажигания 1E40F   AKME</t>
  </si>
  <si>
    <t>K-148</t>
  </si>
  <si>
    <t>Коленвал 1E36F (36mm)</t>
  </si>
  <si>
    <t>K-149</t>
  </si>
  <si>
    <t>Коленвал 1E40F (40,5mm)</t>
  </si>
  <si>
    <t>K-308</t>
  </si>
  <si>
    <t>Кольца 1E34F чёрные</t>
  </si>
  <si>
    <t>K-310</t>
  </si>
  <si>
    <t>Кольца 1E40F чёрные</t>
  </si>
  <si>
    <t>K-311</t>
  </si>
  <si>
    <t>Кольца 1E44F чёрные</t>
  </si>
  <si>
    <t>T-6</t>
  </si>
  <si>
    <t>Корзина сцепления 4  1E40F</t>
  </si>
  <si>
    <t>T-7</t>
  </si>
  <si>
    <t>Корзина сцепления 7  1E40F</t>
  </si>
  <si>
    <t>K-413</t>
  </si>
  <si>
    <t>Корпус вариатора коса</t>
  </si>
  <si>
    <t>K-5380</t>
  </si>
  <si>
    <t>Корпус фильтра воздушного (голый)  TL43/430</t>
  </si>
  <si>
    <t>M-2</t>
  </si>
  <si>
    <t>Магнето 1E40F   AKME</t>
  </si>
  <si>
    <t>M-54</t>
  </si>
  <si>
    <t>Муфта крепления защиты d=26 mm 1E40F   AKME</t>
  </si>
  <si>
    <t>M-1030</t>
  </si>
  <si>
    <t>Муфта крепления защиты d=28mm 1E40F   AKME</t>
  </si>
  <si>
    <t>M-56</t>
  </si>
  <si>
    <t>Муфта крепления ручек d=26 mm 1E40F   AKME</t>
  </si>
  <si>
    <t>M-1047</t>
  </si>
  <si>
    <t>Муфта крепления ручек d=26 mm 1E40F (красная)   AKME</t>
  </si>
  <si>
    <t>M-57</t>
  </si>
  <si>
    <t>Муфта крепления ручек d=28 mm 1E40F   AKME</t>
  </si>
  <si>
    <t>M-1048</t>
  </si>
  <si>
    <t>Муфта крепления ручек d=28 mm 1E40F (красная)   AKME</t>
  </si>
  <si>
    <t>M-58</t>
  </si>
  <si>
    <t>Муфта крепления ручек с резинкой d=26 mm 1E40F</t>
  </si>
  <si>
    <t>M-59</t>
  </si>
  <si>
    <t>Муфта крепления ручек с резинкой d=28 mm 1E40F</t>
  </si>
  <si>
    <t>N-1</t>
  </si>
  <si>
    <t>Набор прокладок 1E36F</t>
  </si>
  <si>
    <t>N-2</t>
  </si>
  <si>
    <t>Набор прокладок 1E40F</t>
  </si>
  <si>
    <t>N-5152</t>
  </si>
  <si>
    <t>Насадка водяной насос (помпа)  для мотокосы  (4T-вал ,28mm- штанга, 1.5" труба)</t>
  </si>
  <si>
    <t>N-5146</t>
  </si>
  <si>
    <t>Насадка водяной насос (помпа)  для мотокосы  (4T-вал ,28mm- штанга, 1" труба)</t>
  </si>
  <si>
    <t>N-5153</t>
  </si>
  <si>
    <t>Насадка водяной насос (помпа)  для мотокосы  (7T-вал ,26mm- штанга, 1.5" труба)</t>
  </si>
  <si>
    <t>N-5154</t>
  </si>
  <si>
    <t>Насадка водяной насос (помпа)  для мотокосы  (7T-вал ,28mm- штанга, 1.5" труба)</t>
  </si>
  <si>
    <t>N-5148</t>
  </si>
  <si>
    <t>Насадка водяной насос (помпа)  для мотокосы  (7T-вал ,28mm- штанга, 1" труба)</t>
  </si>
  <si>
    <t>K-5292</t>
  </si>
  <si>
    <t>Насадка культиватор(фреза) для мотокосы  (28*7)</t>
  </si>
  <si>
    <t>K-5305</t>
  </si>
  <si>
    <t>Насадка культиватор(фреза) для мотокосы  (28*7)  тип 2</t>
  </si>
  <si>
    <t>N-5167</t>
  </si>
  <si>
    <t>Насадка-сучкорез для мотокосы (7*28, шина -12")</t>
  </si>
  <si>
    <t>F-1128</t>
  </si>
  <si>
    <t>Ножи фрезы с защитой тип 2</t>
  </si>
  <si>
    <t>O-43</t>
  </si>
  <si>
    <t>Отсекатель лески широкий</t>
  </si>
  <si>
    <t>P-35</t>
  </si>
  <si>
    <t>Патрубок карбюратора 1E40F текстолитовый</t>
  </si>
  <si>
    <t>P-9791</t>
  </si>
  <si>
    <t>Переходник для помпы M10 на 4 шлица</t>
  </si>
  <si>
    <t>P-9790</t>
  </si>
  <si>
    <t>Переходник для помпы M10 на 7 шлицов</t>
  </si>
  <si>
    <t>P-9789</t>
  </si>
  <si>
    <t>Переходник для помпы M10 на 9 шлицов</t>
  </si>
  <si>
    <t>P-141</t>
  </si>
  <si>
    <t>Подшипник вариатора косы 6202 ZZ</t>
  </si>
  <si>
    <t>P-313</t>
  </si>
  <si>
    <t>Поршень (в сборе) 1E34F</t>
  </si>
  <si>
    <t>P-314</t>
  </si>
  <si>
    <t>Поршень (в сборе) 1E36F</t>
  </si>
  <si>
    <t>P-9637</t>
  </si>
  <si>
    <t>Поршень (в сборе) 1E40F</t>
  </si>
  <si>
    <t>P-9757</t>
  </si>
  <si>
    <t>Поршень (в сборе) 1E40F (покрытие GRAPHITE)   AKME+</t>
  </si>
  <si>
    <t>P-9758</t>
  </si>
  <si>
    <t>Поршень (в сборе) 1E40F (покрытие TEFLON)   AKME+</t>
  </si>
  <si>
    <t>P-315</t>
  </si>
  <si>
    <t>Поршень (в сборе) 1E44F</t>
  </si>
  <si>
    <t>P-9759</t>
  </si>
  <si>
    <t>Поршень (в сборе) 1E44F (покрытие GRAPHITE)   AKME+</t>
  </si>
  <si>
    <t>P-9760</t>
  </si>
  <si>
    <t>Поршень (в сборе) 1E44F (покрытие TEFLON)   AKME+</t>
  </si>
  <si>
    <t>P-460</t>
  </si>
  <si>
    <t>Праймер карбюратора косы</t>
  </si>
  <si>
    <t>P-466</t>
  </si>
  <si>
    <t>Предохранитель ручки газа коса</t>
  </si>
  <si>
    <t>P-9497</t>
  </si>
  <si>
    <t>Прокладка  глушителя TL43/430</t>
  </si>
  <si>
    <t>P-9496</t>
  </si>
  <si>
    <t>Прокладка карбюратора  TL43/430</t>
  </si>
  <si>
    <t>P-9495</t>
  </si>
  <si>
    <t>Прокладка цилиндра  TL43/430</t>
  </si>
  <si>
    <t>P-9559</t>
  </si>
  <si>
    <t>Прокладки двигателя косы 36  D/L</t>
  </si>
  <si>
    <t>P-592</t>
  </si>
  <si>
    <t>Пружина длинная 1E40F</t>
  </si>
  <si>
    <t>P-593</t>
  </si>
  <si>
    <t>Пружина короткая 1E40F</t>
  </si>
  <si>
    <t>P-599</t>
  </si>
  <si>
    <t>Пружина средняя 1E40F</t>
  </si>
  <si>
    <t>P-602</t>
  </si>
  <si>
    <t>Пружина стартера  TL43/430</t>
  </si>
  <si>
    <t>P-9761</t>
  </si>
  <si>
    <t>Пружина стартера  TL43/430 (блистер)</t>
  </si>
  <si>
    <t>R-1126</t>
  </si>
  <si>
    <t>Редуктор ( в сборе) для фрезы тип 2 (9 шлицов под вал 8mm)</t>
  </si>
  <si>
    <t>R-8</t>
  </si>
  <si>
    <t>Редуктор верхний d=26 mm *4(квадрат) 1E40F</t>
  </si>
  <si>
    <t>R-9</t>
  </si>
  <si>
    <t>Редуктор верхний d=26 mm *7 1E40F</t>
  </si>
  <si>
    <t>R-10</t>
  </si>
  <si>
    <t>Редуктор верхний d=26 mm *9 1E40F</t>
  </si>
  <si>
    <t>R-11</t>
  </si>
  <si>
    <t>Редуктор верхний d=28 mm *4(квадрат) 1E40F</t>
  </si>
  <si>
    <t>R-12</t>
  </si>
  <si>
    <t>Редуктор верхний d=28 mm *7 1E40F</t>
  </si>
  <si>
    <t>R-13</t>
  </si>
  <si>
    <t>Редуктор верхний d=28 mm *9 1E40F</t>
  </si>
  <si>
    <t>R-15</t>
  </si>
  <si>
    <t>Редуктор нижний d=26mm*7 1E40F</t>
  </si>
  <si>
    <t>R-16</t>
  </si>
  <si>
    <t>Редуктор нижний d=26mm*9 1E40F</t>
  </si>
  <si>
    <t>R-17</t>
  </si>
  <si>
    <t>Редуктор нижний d=28 mm*4(квадрат) 1E40F</t>
  </si>
  <si>
    <t>R-18</t>
  </si>
  <si>
    <t>Редуктор нижний d=28 mm*7 1E40F</t>
  </si>
  <si>
    <t>R-19</t>
  </si>
  <si>
    <t>Редуктор нижний d=28 mm*9 1E40F</t>
  </si>
  <si>
    <t>R-21</t>
  </si>
  <si>
    <t>Редукторная пара 4(квадрат) 1E40F</t>
  </si>
  <si>
    <t>R-22</t>
  </si>
  <si>
    <t>Редукторная пара 7 1E40F</t>
  </si>
  <si>
    <t>R-139</t>
  </si>
  <si>
    <t>Ремкомплект ручки газа 1E40F</t>
  </si>
  <si>
    <t>R-169</t>
  </si>
  <si>
    <t>Ручка газа коса в сборе тип 1 1E40F</t>
  </si>
  <si>
    <t>R-171</t>
  </si>
  <si>
    <t>Ручка газа коса в сборе тип 2 1E40F</t>
  </si>
  <si>
    <t>R-172</t>
  </si>
  <si>
    <t>Ручка газа коса в сборе тип 3 1E40F</t>
  </si>
  <si>
    <t>R-1125</t>
  </si>
  <si>
    <t>Ручка косы левая 1E40F</t>
  </si>
  <si>
    <t>R-180</t>
  </si>
  <si>
    <t>Ручка стартера коса</t>
  </si>
  <si>
    <t>S-5327</t>
  </si>
  <si>
    <t>Сальники коса (набор)  1E36F</t>
  </si>
  <si>
    <t>S-37</t>
  </si>
  <si>
    <t>Сальники коса (набор)  1E40F</t>
  </si>
  <si>
    <t>S-85</t>
  </si>
  <si>
    <t>Сепаратор поршневой коса 1E40F</t>
  </si>
  <si>
    <t>S-5276</t>
  </si>
  <si>
    <t>Смазка редукторной пары коса молибденовая</t>
  </si>
  <si>
    <t>S-163</t>
  </si>
  <si>
    <t>Стартер бабочка 1E40F</t>
  </si>
  <si>
    <t>S-5323</t>
  </si>
  <si>
    <t>Стартер плавный пуск  1E40F  (4 зацепа, дубль)</t>
  </si>
  <si>
    <t>S-5317</t>
  </si>
  <si>
    <t>Стартер плавный пуск  1E40F  (4 зацепа)</t>
  </si>
  <si>
    <t>S-168</t>
  </si>
  <si>
    <t>Стартер плавный пуск  ЭКСПЕРТ  1E40F  (4 зацепа, низкий)</t>
  </si>
  <si>
    <t>S-173</t>
  </si>
  <si>
    <t>Стартер с пружиной 1E40F</t>
  </si>
  <si>
    <t>S-5260</t>
  </si>
  <si>
    <t>Сцепление алюминий ( пружина 12 витков) 1E40F</t>
  </si>
  <si>
    <t>S-5261</t>
  </si>
  <si>
    <t>Сцепление железо (длинная пружина 10 витков, тип 2)  1E40F</t>
  </si>
  <si>
    <t>S-214</t>
  </si>
  <si>
    <t>Сцепление железо (короткая пружина 6 витков , тип 1) 1E40F</t>
  </si>
  <si>
    <t>S-5319</t>
  </si>
  <si>
    <t>Сцепление железо (средняя пружина 8 витков , тип 3) 1E40F</t>
  </si>
  <si>
    <t>T-1</t>
  </si>
  <si>
    <t>Тарелка прижимная нижнего редуктора коса 1E40F</t>
  </si>
  <si>
    <t>T-53</t>
  </si>
  <si>
    <t>Трос газа коса</t>
  </si>
  <si>
    <t>K-5374</t>
  </si>
  <si>
    <t>Фиксатор курка ручки газа косы</t>
  </si>
  <si>
    <t>K-416</t>
  </si>
  <si>
    <t>Фильтр воздушный (в сборе) TL43/430</t>
  </si>
  <si>
    <t>F-94</t>
  </si>
  <si>
    <t>Фильтр топливный бензопильный  (черно-белый, сетка)</t>
  </si>
  <si>
    <t>F-95</t>
  </si>
  <si>
    <t>Фильтр топливный бензопильный (черный , керамика)</t>
  </si>
  <si>
    <t>F-96</t>
  </si>
  <si>
    <t>Фильтр топливный бензопильный (чёрный, войлок)</t>
  </si>
  <si>
    <t>F-1113</t>
  </si>
  <si>
    <t>Фильтр топливный коса</t>
  </si>
  <si>
    <t>H-13</t>
  </si>
  <si>
    <t>Храповик стартера 1 ус</t>
  </si>
  <si>
    <t>H-14</t>
  </si>
  <si>
    <t>Храповик стартера 2 ус</t>
  </si>
  <si>
    <t>P-445</t>
  </si>
  <si>
    <t>Цилиндр (в сборе)  1E34F   AKME</t>
  </si>
  <si>
    <t>P-446</t>
  </si>
  <si>
    <t>Цилиндр (в сборе)  1E36F   AKME</t>
  </si>
  <si>
    <t>P-447</t>
  </si>
  <si>
    <t>Цилиндр (в сборе)  1E40F   AKME</t>
  </si>
  <si>
    <t>C-1099</t>
  </si>
  <si>
    <t>Цилиндр (в сборе)  1E40F (поршень с покрытием TEFLON)   AKME+</t>
  </si>
  <si>
    <t>P-448</t>
  </si>
  <si>
    <t>Цилиндр (в сборе)  1E44F   AKME</t>
  </si>
  <si>
    <t>H-1075</t>
  </si>
  <si>
    <t>Шкив стартера коса (простой)</t>
  </si>
  <si>
    <t>J-83</t>
  </si>
  <si>
    <t>Шкив стартера коса Байкал</t>
  </si>
  <si>
    <t>J-84</t>
  </si>
  <si>
    <t>Шкив стартера коса с пружиной</t>
  </si>
  <si>
    <t>J-91</t>
  </si>
  <si>
    <t>Шланги топливные коса</t>
  </si>
  <si>
    <t>J-118</t>
  </si>
  <si>
    <t>Шпонка коленвала коса</t>
  </si>
  <si>
    <t>J-124</t>
  </si>
  <si>
    <t>Штанга голая d=26 mm 1E40F</t>
  </si>
  <si>
    <t>J-125</t>
  </si>
  <si>
    <t>Штанга голая d=28 mm 1E40F</t>
  </si>
  <si>
    <t>Q-4</t>
  </si>
  <si>
    <t>Юбка защиты коса</t>
  </si>
  <si>
    <t>B-83</t>
  </si>
  <si>
    <t>Бегунок сцепления  Oleo-Mac SPARTA 25/250</t>
  </si>
  <si>
    <t>B-85</t>
  </si>
  <si>
    <t>Бензобак STIHL FS 55</t>
  </si>
  <si>
    <t>Z-1092</t>
  </si>
  <si>
    <t>Защита ножа мотокосы  Stihl FS 38/45/55</t>
  </si>
  <si>
    <t>K-5295</t>
  </si>
  <si>
    <t>Карбюратор Husqvarna 128R</t>
  </si>
  <si>
    <t>K-5298</t>
  </si>
  <si>
    <t>Карбюратор Oleo-Mac SPARTA 25/250  (WYL-159A)</t>
  </si>
  <si>
    <t>K-5296</t>
  </si>
  <si>
    <t>Катушка зажигания мотокосы Husqvarna 128R</t>
  </si>
  <si>
    <t>K-5299</t>
  </si>
  <si>
    <t>Кольца поршневые мотокосы  Stihl FS 38/45/55</t>
  </si>
  <si>
    <t>K-5297</t>
  </si>
  <si>
    <t>Кольца поршневые мотокосы Husqvarna 128R</t>
  </si>
  <si>
    <t>T-1039</t>
  </si>
  <si>
    <t>Корзина сцепления  4Т (квадрат)  Stihl FS 38/45/55</t>
  </si>
  <si>
    <t>P-9635</t>
  </si>
  <si>
    <t>Крышка бака Stihl FS 38/55</t>
  </si>
  <si>
    <t>N-5144</t>
  </si>
  <si>
    <t>Набор прокладок  Stihl FS 55</t>
  </si>
  <si>
    <t>P-9636</t>
  </si>
  <si>
    <t>Патрубок карбюратора Stihl FS 38/45/55</t>
  </si>
  <si>
    <t>P-9638</t>
  </si>
  <si>
    <t>Поршень (в сборе) Oleo-Mac SPARTA 25/250</t>
  </si>
  <si>
    <t>P-273</t>
  </si>
  <si>
    <t>Поршень (в сборе) STIHL FS 38/45/55</t>
  </si>
  <si>
    <t>P-9634</t>
  </si>
  <si>
    <t>Поршень (в сборе) мотокосы Husqvarna 128R</t>
  </si>
  <si>
    <t>P-606</t>
  </si>
  <si>
    <t>Пружина стартера STIHL FS 38/45/55</t>
  </si>
  <si>
    <t>R-1089</t>
  </si>
  <si>
    <t>Редуктор нижний 4Т (квадрат)  Stihl FS 38/45/55</t>
  </si>
  <si>
    <t>R-1090</t>
  </si>
  <si>
    <t>Ремкомплект карбюратора Stihl FS 38/45/55</t>
  </si>
  <si>
    <t>S-5320</t>
  </si>
  <si>
    <t>Стартер (в сборе)  Husqvarna 128R</t>
  </si>
  <si>
    <t>S-153</t>
  </si>
  <si>
    <t>Стартер STIHL FS 38/45/55</t>
  </si>
  <si>
    <t>S-5322</t>
  </si>
  <si>
    <t>Сцепление (в сборе) мотокосы  Stihl FS 38/55</t>
  </si>
  <si>
    <t>S-5321</t>
  </si>
  <si>
    <t>Сцепление (в сборе) мотокосы Oleo-Mac SPARTA 25/250</t>
  </si>
  <si>
    <t>F-1096</t>
  </si>
  <si>
    <t>Фильтр воздушный (в сборе) Oleo-Mac SPARTA 25/250</t>
  </si>
  <si>
    <t>C-1058</t>
  </si>
  <si>
    <t>Цилиндр (в сборе)  Husqvarna 128R (мотокоса)   AKME</t>
  </si>
  <si>
    <t>C-1059</t>
  </si>
  <si>
    <t>Цилиндр (в сборе)  Oleo-Mac SPARTA 25/250</t>
  </si>
  <si>
    <t>C-108</t>
  </si>
  <si>
    <t>Цилиндр (в сборе)  STIHL FS55   AKME</t>
  </si>
  <si>
    <t>H-1060</t>
  </si>
  <si>
    <t>Шайбы и флянцы редуктора  Stihl FS 38/45/55</t>
  </si>
  <si>
    <t>H-1058</t>
  </si>
  <si>
    <t>Шкив стартера Stihl FS 38/55</t>
  </si>
  <si>
    <t>H-1059</t>
  </si>
  <si>
    <t>Шланг топливный STIHL FS38/55</t>
  </si>
  <si>
    <t>F-1103</t>
  </si>
  <si>
    <t>Элемент воздушного фильтра  Husqvarna 128R</t>
  </si>
  <si>
    <t>F-1012</t>
  </si>
  <si>
    <t>Элемент воздушного фильтра STIHL FS 55</t>
  </si>
  <si>
    <t>L-14</t>
  </si>
  <si>
    <t>Леска 1.6mm*100M звезда</t>
  </si>
  <si>
    <t>L-16</t>
  </si>
  <si>
    <t>Леска 1.6mm*15M звезда</t>
  </si>
  <si>
    <t>L-17</t>
  </si>
  <si>
    <t>Леска 1.6mm*15M плетёнка</t>
  </si>
  <si>
    <t>L-18</t>
  </si>
  <si>
    <t>Леска 2.0mm*100M звезда</t>
  </si>
  <si>
    <t>L-19</t>
  </si>
  <si>
    <t>Леска 2.0mm*100M плетёнка</t>
  </si>
  <si>
    <t>L-20</t>
  </si>
  <si>
    <t>Леска 2.0mm*15M звезда</t>
  </si>
  <si>
    <t>L-21</t>
  </si>
  <si>
    <t>Леска 2.0mm*15M плетёнка</t>
  </si>
  <si>
    <t>L-24</t>
  </si>
  <si>
    <t>Леска 2.4mm*15M звезда</t>
  </si>
  <si>
    <t>L-25</t>
  </si>
  <si>
    <t>Леска 2.4mm*15M плетёнка</t>
  </si>
  <si>
    <t>L-583</t>
  </si>
  <si>
    <t>Леска 2.7mm*15M звезда</t>
  </si>
  <si>
    <t>L-29</t>
  </si>
  <si>
    <t>Леска 2.7mm*15M плетёнка</t>
  </si>
  <si>
    <t>L-32</t>
  </si>
  <si>
    <t>Леска 3.0mm*15M звезда</t>
  </si>
  <si>
    <t>L-556</t>
  </si>
  <si>
    <t>Леска 3.0mm*15M круг</t>
  </si>
  <si>
    <t>L-33</t>
  </si>
  <si>
    <t>Леска 3.0mm*15M плетёнка</t>
  </si>
  <si>
    <t>L-562</t>
  </si>
  <si>
    <t>Леска 3.3mm*15M звезда</t>
  </si>
  <si>
    <t>L-564</t>
  </si>
  <si>
    <t>Леска 3.3mm*15M круг</t>
  </si>
  <si>
    <t>L-568</t>
  </si>
  <si>
    <t>Леска 3.5mm*15M звезда</t>
  </si>
  <si>
    <t>L-570</t>
  </si>
  <si>
    <t>Леска 3.5mm*15M круг</t>
  </si>
  <si>
    <t>L-582</t>
  </si>
  <si>
    <t>Леска 3.5mm*15M плетёнка</t>
  </si>
  <si>
    <t>L-581</t>
  </si>
  <si>
    <t>Леска 4.0mm*15M плетёнка</t>
  </si>
  <si>
    <t>N-52</t>
  </si>
  <si>
    <t>Нож 3Т  255*25,4*8 под STIHL</t>
  </si>
  <si>
    <t>N-50</t>
  </si>
  <si>
    <t>Нож 3Т 255*25,4*8</t>
  </si>
  <si>
    <t>N-5192</t>
  </si>
  <si>
    <t>Нож 40T 255*1,4*25,4 с напайкой</t>
  </si>
  <si>
    <t>N-5193</t>
  </si>
  <si>
    <t>Нож 40T 255*1,4*25,4 с напайкой + 3 подрезных зуба</t>
  </si>
  <si>
    <t>N-54</t>
  </si>
  <si>
    <t>Нож 40Т  255*25,4 с напайкой</t>
  </si>
  <si>
    <t>N-55</t>
  </si>
  <si>
    <t>Нож 4Т  255*25,4*8</t>
  </si>
  <si>
    <t>N-57</t>
  </si>
  <si>
    <t>Нож 80Т  255*25,4 с напайкой</t>
  </si>
  <si>
    <t>H-1062</t>
  </si>
  <si>
    <t>Шпуля  с ручной регулировкой   (160006)</t>
  </si>
  <si>
    <t>H-1028</t>
  </si>
  <si>
    <t>Шпуля (ручная регулировка)</t>
  </si>
  <si>
    <t>J-119</t>
  </si>
  <si>
    <t>Шпуля краб</t>
  </si>
  <si>
    <t>J-121</t>
  </si>
  <si>
    <t>Шпуля под STIHL</t>
  </si>
  <si>
    <t>J-120</t>
  </si>
  <si>
    <t>Шпуля простая (красная)</t>
  </si>
  <si>
    <t>H-1063</t>
  </si>
  <si>
    <t>Шпуля с автоматической намоткой  (металлический носик с подшипником)   AKME</t>
  </si>
  <si>
    <t>H-1064</t>
  </si>
  <si>
    <t>Шпуля с автоматической намоткой  (металлический носик с подшипником+ 2 переходника)   AKME</t>
  </si>
  <si>
    <t>H-1092</t>
  </si>
  <si>
    <t>Шпуля с ручной регулировкой (чёрная, красный носик)</t>
  </si>
  <si>
    <t>J-122</t>
  </si>
  <si>
    <t>Шпуля с чёрным носиком</t>
  </si>
  <si>
    <t>J-123</t>
  </si>
  <si>
    <t>Шпуля чёрная</t>
  </si>
  <si>
    <t>G-99</t>
  </si>
  <si>
    <t>Жилет косаря зеленый</t>
  </si>
  <si>
    <t>G-100</t>
  </si>
  <si>
    <t>Жилет косаря оранжевый</t>
  </si>
  <si>
    <t>M-1022</t>
  </si>
  <si>
    <t>Маска косаря (пластик)</t>
  </si>
  <si>
    <t>M-19</t>
  </si>
  <si>
    <t>Маска косаря (сетка)</t>
  </si>
  <si>
    <t>O-1013</t>
  </si>
  <si>
    <t>Очки защитные универсальные (пластиковые)</t>
  </si>
  <si>
    <t>R-98</t>
  </si>
  <si>
    <t>Ремень плечевой люкс</t>
  </si>
  <si>
    <t>L-34</t>
  </si>
  <si>
    <t>Ремень плечевой лямка</t>
  </si>
  <si>
    <t>R-99</t>
  </si>
  <si>
    <t>Ремень плечевой профи</t>
  </si>
  <si>
    <t>B-89</t>
  </si>
  <si>
    <t>Бензопила REZER 4500 (лёгкий пуск, 2 шины 18", 2 цепи Picco)</t>
  </si>
  <si>
    <t>B-90</t>
  </si>
  <si>
    <t>Бензопила REZER 5200 (лёгкий пуск, 2 шины 18", 2 цепи Picco)</t>
  </si>
  <si>
    <t>B-91</t>
  </si>
  <si>
    <t>Бензопила REZER 5800 (лёгкий пуск, 2 шины 18", 2 цепи Picco)</t>
  </si>
  <si>
    <t>V-78</t>
  </si>
  <si>
    <t>Винт крышки фильтра воздушного высокий</t>
  </si>
  <si>
    <t>V-77</t>
  </si>
  <si>
    <t>Винт крышки фильтра воздушного низкий</t>
  </si>
  <si>
    <t>G-6</t>
  </si>
  <si>
    <t>Гайка шины Goodluck</t>
  </si>
  <si>
    <t>G-9333</t>
  </si>
  <si>
    <t>Глушитель Goodluck GL 3800</t>
  </si>
  <si>
    <t>G-40</t>
  </si>
  <si>
    <t>Глушитель Goodluck GL 4500/5200</t>
  </si>
  <si>
    <t>S-1</t>
  </si>
  <si>
    <t>Демпферные резинки (сайлентблоки) Goodluck GL 4500/5200  (5шт)   AKME</t>
  </si>
  <si>
    <t>Z-123</t>
  </si>
  <si>
    <t>Звезда (венец привода) 3/8 Goodluck GL 4500</t>
  </si>
  <si>
    <t>Z-34</t>
  </si>
  <si>
    <t>Звезда (венец привода) 325-7  Goodluck GL 4500/5200 /Husqvarna 137/142</t>
  </si>
  <si>
    <t>K-25</t>
  </si>
  <si>
    <t>Карбюратор Goodluck GL 3800</t>
  </si>
  <si>
    <t>K-26</t>
  </si>
  <si>
    <t>Карбюратор Goodluck GL 4500/5200</t>
  </si>
  <si>
    <t>K-5412</t>
  </si>
  <si>
    <t>Карбюратор Goodluck GL 4500/5200   AKME+</t>
  </si>
  <si>
    <t>K-5273</t>
  </si>
  <si>
    <t>Карбюратор Goodluck GL 4500/5200 (с подкачкой, пластиковые трубки)</t>
  </si>
  <si>
    <t>K-5211</t>
  </si>
  <si>
    <t>Карбюратор Goodluck GL 4500/5200 (с подкачкой)</t>
  </si>
  <si>
    <t>K-5413</t>
  </si>
  <si>
    <t>Карбюратор Goodluck GL 4500/5200 (с подкачкой)   AKME+</t>
  </si>
  <si>
    <t>K-64</t>
  </si>
  <si>
    <t>Картер (в сборе) Goodluck 3800</t>
  </si>
  <si>
    <t>K-5189</t>
  </si>
  <si>
    <t>Картер Goodluck GL 4500/5200/5800</t>
  </si>
  <si>
    <t>K-5409</t>
  </si>
  <si>
    <t>Картер Goodluck GL 4500/5200/5800 + демпферные резинки и подшипники коленвала</t>
  </si>
  <si>
    <t>K-5237</t>
  </si>
  <si>
    <t>Касета пружины стартера  Goodluck GL 4500/5200</t>
  </si>
  <si>
    <t>K-80</t>
  </si>
  <si>
    <t>Катушка зажигания Goodluck 3800</t>
  </si>
  <si>
    <t>K-81</t>
  </si>
  <si>
    <t>Катушка зажигания Goodluck GL 4500/5200</t>
  </si>
  <si>
    <t>K-5204</t>
  </si>
  <si>
    <t>Коленвал Goodluck GL 3800</t>
  </si>
  <si>
    <t>K-154</t>
  </si>
  <si>
    <t>Коленвал Goodluck GL 4500/5200</t>
  </si>
  <si>
    <t>K-189</t>
  </si>
  <si>
    <t>Колодки вариатора  Goodluck GL 4500 EMAS Taiwan</t>
  </si>
  <si>
    <t>K-313</t>
  </si>
  <si>
    <t>Кольца Goodluck GL 4500  (Ø43.00mm)  (коричневые)</t>
  </si>
  <si>
    <t>K-314</t>
  </si>
  <si>
    <t>Кольца Goodluck GL 4500  (Ø43.00mm)  (чёрные)</t>
  </si>
  <si>
    <t>K-315</t>
  </si>
  <si>
    <t>Кольца Goodluck GL 5200  (Ø45.00mm)  ( коричневые)</t>
  </si>
  <si>
    <t>K-316</t>
  </si>
  <si>
    <t>Кольца Goodluck GL 5200  (Ø45.00mm)  (чёрные)</t>
  </si>
  <si>
    <t>K-317</t>
  </si>
  <si>
    <t>Кольца Goodluck GL 5800  (Ø45.20mm)  (коричневые)</t>
  </si>
  <si>
    <t>K-5375</t>
  </si>
  <si>
    <t>Кольца Goodluck GL 5800  (Ø45.20mm)  (чёрные)</t>
  </si>
  <si>
    <t>K-387</t>
  </si>
  <si>
    <t>Конусная пружина Goodluck GL 4500/5200</t>
  </si>
  <si>
    <t>K-5242</t>
  </si>
  <si>
    <t>Корзина сцепления разборная Goodluck GL 4500/5200 (+звезда 325-7 + сепаратор)</t>
  </si>
  <si>
    <t>K-396</t>
  </si>
  <si>
    <t>Корзина сцепления разборная Goodluck GL 4500/5200 (голая)</t>
  </si>
  <si>
    <t>K-399</t>
  </si>
  <si>
    <t>Корзина сцепления цельная Goodluck GL 4500/5200</t>
  </si>
  <si>
    <t>P-487</t>
  </si>
  <si>
    <t>Крышка бензобака Goodluck GL 3800</t>
  </si>
  <si>
    <t>P-488</t>
  </si>
  <si>
    <t>Крышка бензобака Goodluck GL 4500/5200</t>
  </si>
  <si>
    <t>K-5238</t>
  </si>
  <si>
    <t>Крышка двигателя Goodluck GL 4500/5200</t>
  </si>
  <si>
    <t>P-5896</t>
  </si>
  <si>
    <t>Крышка маслобака Goodluck GL 3800</t>
  </si>
  <si>
    <t>P-499</t>
  </si>
  <si>
    <t>Крышка маслобака Goodluck GL 4500/5200</t>
  </si>
  <si>
    <t>K-529</t>
  </si>
  <si>
    <t>Крышка маслонасоса  Goodluck GL 4500/5200</t>
  </si>
  <si>
    <t>K-537</t>
  </si>
  <si>
    <t>Крышка стартера  Goodluck GL 4500/5200  (лёгкий пуск)   EMAS Taiwan</t>
  </si>
  <si>
    <t>K-538</t>
  </si>
  <si>
    <t>Крышка стартера Goodluck GL 4500/5200   EMAS Taiwan</t>
  </si>
  <si>
    <t>K-5198</t>
  </si>
  <si>
    <t>Крышка фильтра Goodluck GL 4500/5200/5800</t>
  </si>
  <si>
    <t>K-550</t>
  </si>
  <si>
    <t>Курок привода газа  Goodluck GL 4500/5200</t>
  </si>
  <si>
    <t>L-10</t>
  </si>
  <si>
    <t>Лента тормоза Goodluck GL 4500/5200</t>
  </si>
  <si>
    <t>M-5</t>
  </si>
  <si>
    <t>Магнето Goodluck GL 3800</t>
  </si>
  <si>
    <t>M-7</t>
  </si>
  <si>
    <t>Магнето Goodluck GL 4500/5200</t>
  </si>
  <si>
    <t>M-18</t>
  </si>
  <si>
    <t>Магнето Goodluck GL 5800  (металлические зацепы)</t>
  </si>
  <si>
    <t>M-1023</t>
  </si>
  <si>
    <t>Маслонасос Goodluck GL 3800</t>
  </si>
  <si>
    <t>M-35</t>
  </si>
  <si>
    <t>Маслошланг Goodluck GL 4500/5200</t>
  </si>
  <si>
    <t>M-61</t>
  </si>
  <si>
    <t>Муфта (маховик)  сцепления Goodluck GL 4500/5200</t>
  </si>
  <si>
    <t>P-5894</t>
  </si>
  <si>
    <t>Набор прокладок  Goodluck GL 4500/5200</t>
  </si>
  <si>
    <t>N-5116</t>
  </si>
  <si>
    <t>Натяжитель шины  Goodluck GL 4500/5200 (прямой)</t>
  </si>
  <si>
    <t>N-45</t>
  </si>
  <si>
    <t>Натяжитель шины  Goodluck GL 4500/5200 (редуктор, боковой)</t>
  </si>
  <si>
    <t>P-9537</t>
  </si>
  <si>
    <t>Патрубок карбюратора Goodluck GL 3800</t>
  </si>
  <si>
    <t>P-9567</t>
  </si>
  <si>
    <t>Патрубок карбюратора Goodluck GL 4500/5200</t>
  </si>
  <si>
    <t>P-43</t>
  </si>
  <si>
    <t>Патрубок маслонасоса  Goodluck GL 4500/5200</t>
  </si>
  <si>
    <t>P-75</t>
  </si>
  <si>
    <t>Переходник фильтра воздушного резиновый  Goodluck GL 4500/5200</t>
  </si>
  <si>
    <t>P-115</t>
  </si>
  <si>
    <t>Плата карбюратора  Goodluck GL 4500/5200</t>
  </si>
  <si>
    <t>P-118</t>
  </si>
  <si>
    <t>Плата шины под маслонасос  Goodluck GL 4500/5200</t>
  </si>
  <si>
    <t>P-9631</t>
  </si>
  <si>
    <t>Поршень (в сборе) Goodluck GL 3800  (Ø39.00mm)</t>
  </si>
  <si>
    <t>P-222</t>
  </si>
  <si>
    <t>Поршень (в сборе) Goodluck GL 4500  (Ø43.00mm)   EMAS Taiwan</t>
  </si>
  <si>
    <t>P-223</t>
  </si>
  <si>
    <t>Поршень (в сборе) Goodluck GL 4500  (Ø43.00mm)  (коричневые кольца)</t>
  </si>
  <si>
    <t>P-9590</t>
  </si>
  <si>
    <t>Поршень (в сборе) Goodluck GL 4500  (Ø43.00mm)  (чёрные кольца)</t>
  </si>
  <si>
    <t>P-225</t>
  </si>
  <si>
    <t>Поршень (в сборе) Goodluck GL 5200  (Ø45.00mm)  (коричневые кольца)</t>
  </si>
  <si>
    <t>P-9575</t>
  </si>
  <si>
    <t>Праймер (в сборе)  Goodluck GL 4500/5200</t>
  </si>
  <si>
    <t>P-9574</t>
  </si>
  <si>
    <t>Праймер Goodluck GL 4500/5200</t>
  </si>
  <si>
    <t>P-474</t>
  </si>
  <si>
    <t>Привод маслонасоса  Goodluck GL 3800</t>
  </si>
  <si>
    <t>P-475</t>
  </si>
  <si>
    <t>Привод маслонасоса  Goodluck GL 4500/5200</t>
  </si>
  <si>
    <t>P-476</t>
  </si>
  <si>
    <t>Привод маслонасоса  Goodluck GL 4500/5200 ( качественный )</t>
  </si>
  <si>
    <t>P-4993</t>
  </si>
  <si>
    <t>Прокладка крышки бака Goodluck GL 4500/5200</t>
  </si>
  <si>
    <t>P-591</t>
  </si>
  <si>
    <t>Пружина вариатора Goodluck GL 4500/5200</t>
  </si>
  <si>
    <t>P-9547</t>
  </si>
  <si>
    <t>Пружина стартера Goodluck GL 3800</t>
  </si>
  <si>
    <t>P-9549</t>
  </si>
  <si>
    <t>Пружина стартера Goodluck GL 3800/4500/5200/5800</t>
  </si>
  <si>
    <t>P-5892</t>
  </si>
  <si>
    <t>Пружина стартера Goodluck GL 4500/5200  ( легкий пуск, большая)</t>
  </si>
  <si>
    <t>P-9764</t>
  </si>
  <si>
    <t>Пружина стартера Goodluck GL 4500/5200  ( легкий пуск, малая, блистер)</t>
  </si>
  <si>
    <t>P-5891</t>
  </si>
  <si>
    <t>Пружина стартера Goodluck GL 4500/5200  ( легкий пуск, малая)</t>
  </si>
  <si>
    <t>P-589</t>
  </si>
  <si>
    <t>Пружина стартера Goodluck GL 4500/5200  (2шт, легкий пуск)</t>
  </si>
  <si>
    <t>P-9573</t>
  </si>
  <si>
    <t>Пружина тормоза Goodluck GL 4500/5200</t>
  </si>
  <si>
    <t>R-116</t>
  </si>
  <si>
    <t>Ремкомплект карбюратора Goodluck GL 4500/5200</t>
  </si>
  <si>
    <t>R-214</t>
  </si>
  <si>
    <t>Ремкомплект карбюратора Goodluck GL 4500/5200 (полный)</t>
  </si>
  <si>
    <t>R-158</t>
  </si>
  <si>
    <t>Рукоятка (в сборе)  Goodluck GL 4500/5200</t>
  </si>
  <si>
    <t>R-162</t>
  </si>
  <si>
    <t>Руль Goodluck GL 3800</t>
  </si>
  <si>
    <t>R-188</t>
  </si>
  <si>
    <t>Ручка тормоза (защита рук) Goodluck GL 4500/5200</t>
  </si>
  <si>
    <t>S-5294</t>
  </si>
  <si>
    <t>Сальники коленвала  Goodluck GL 4500/5200 (компл.)</t>
  </si>
  <si>
    <t>S-43</t>
  </si>
  <si>
    <t>Сапун бензобака Goodluck GL 4500/5200</t>
  </si>
  <si>
    <t>S-88</t>
  </si>
  <si>
    <t>Сепаратор корзины Goodluck GL 4500/5200</t>
  </si>
  <si>
    <t>S-80</t>
  </si>
  <si>
    <t>Сепаратор пальца поршневого  Goodluck GL 4500/5200</t>
  </si>
  <si>
    <t>S-148</t>
  </si>
  <si>
    <t>Стартер (в сборе)  Goodluck GL 3800</t>
  </si>
  <si>
    <t>S-1481</t>
  </si>
  <si>
    <t>Стартер (в сборе)  Goodluck GL 3800  (плавный пуск)</t>
  </si>
  <si>
    <t>S-1485</t>
  </si>
  <si>
    <t>Стартер (в сборе)  Goodluck GL 4500/5200  "дубль"</t>
  </si>
  <si>
    <t>S-1482</t>
  </si>
  <si>
    <t>Стартер (в сборе)  Goodluck GL 4500/5200  (4 зацепа, пластик)</t>
  </si>
  <si>
    <t>S-5271</t>
  </si>
  <si>
    <t>Стартер (в сборе)  Goodluck GL 4500/5200  (плавный пуск, металл)</t>
  </si>
  <si>
    <t>S-5267</t>
  </si>
  <si>
    <t>Стартер (в сборе)  Goodluck GL 4500/5200  (плавный пуск, пластик)</t>
  </si>
  <si>
    <t>S-146</t>
  </si>
  <si>
    <t>Стартер (в сборе)  Goodluck GL 4500/5200 ( металл, 4 зуба)</t>
  </si>
  <si>
    <t>S-1486</t>
  </si>
  <si>
    <t>Сцепление Goodluck GL 3800</t>
  </si>
  <si>
    <t>T-1032</t>
  </si>
  <si>
    <t>Текстолит переходника карбюратора Goodluck GL 4500/5200</t>
  </si>
  <si>
    <t>K-5210</t>
  </si>
  <si>
    <t>Тормоз ручной (в сборе)  Goodluck GL 3800</t>
  </si>
  <si>
    <t>R-190</t>
  </si>
  <si>
    <t>Тормоз ручной (в сборе)  Goodluck GL 4500/5200</t>
  </si>
  <si>
    <t>T-23</t>
  </si>
  <si>
    <t>Тормоз ручной (в сборе)  Goodluck GL 5200 (металл)</t>
  </si>
  <si>
    <t>K-1321</t>
  </si>
  <si>
    <t>Тумблер стопа  Goodluck GL 4500/5200</t>
  </si>
  <si>
    <t>L-529</t>
  </si>
  <si>
    <t>Уловитель цепи GoodLock GL 4500/5200</t>
  </si>
  <si>
    <t>U-1005</t>
  </si>
  <si>
    <t>Уловитель цепи GoodLock GL 4500/5200 (пластик)</t>
  </si>
  <si>
    <t>U-1003</t>
  </si>
  <si>
    <t>Уплотнительное кольцо текстолита карбюратора Goodluck GL 4500/5200/5800 (латунь)</t>
  </si>
  <si>
    <t>U-1004</t>
  </si>
  <si>
    <t>Упор зубчатый   Goodluck GL 4500/5200/5800</t>
  </si>
  <si>
    <t>F-1075</t>
  </si>
  <si>
    <t>Фиксатор сальника Goodluck GL 4500/5200/5800</t>
  </si>
  <si>
    <t>S-1484</t>
  </si>
  <si>
    <t>Фиксатор стартера (собачка) Goodluck GL 4500 (комплект)</t>
  </si>
  <si>
    <t>F-43</t>
  </si>
  <si>
    <t>Фильтр воздушный (в сборе) Goodluck GL 3800</t>
  </si>
  <si>
    <t>F-52</t>
  </si>
  <si>
    <t>Фильтр воздушный (в сборе) Goodluck GL 4500/5200 (большой)</t>
  </si>
  <si>
    <t>F-57</t>
  </si>
  <si>
    <t>Фильтр воздушный (в сборе) Goodluck GL 4500/5200 (маленький)</t>
  </si>
  <si>
    <t>F-504</t>
  </si>
  <si>
    <t>Фильтр воздушный Goodluck GL 4500/5200 (бумажный большой, квадрат)</t>
  </si>
  <si>
    <t>F-505</t>
  </si>
  <si>
    <t>Фильтр воздушный Goodluck GL 4500/5200 (бумажный круглый)</t>
  </si>
  <si>
    <t>F-1060</t>
  </si>
  <si>
    <t>Фильтр топливный Goodluck GL 4500/5200 (алюминий)</t>
  </si>
  <si>
    <t>F-1106</t>
  </si>
  <si>
    <t>Фильтр топливный Goodluck GL 4500/5200/5800 (чёрный, сетка )</t>
  </si>
  <si>
    <t>C-1056</t>
  </si>
  <si>
    <t>Цилиндр (в сборе)  Goodluck GL 3800   AKME</t>
  </si>
  <si>
    <t>C-97</t>
  </si>
  <si>
    <t>Цилиндр (в сборе)  Goodluck GL 4500   AKME</t>
  </si>
  <si>
    <t>C-1095</t>
  </si>
  <si>
    <t>Цилиндр (в сборе)  Goodluck GL 4500 (поршень с покрытием GRAPHITE)    AKME+</t>
  </si>
  <si>
    <t>C-1094</t>
  </si>
  <si>
    <t>Цилиндр (в сборе)  Goodluck GL 4500 (поршень с покрытием TEFLON)    AKME+</t>
  </si>
  <si>
    <t>C-99</t>
  </si>
  <si>
    <t>Цилиндр (в сборе)  Goodluck GL 5200   AKME</t>
  </si>
  <si>
    <t>C-1096</t>
  </si>
  <si>
    <t>Цилиндр (в сборе)  Goodluck GL 5200 (поршень с покрытием GRAPHITE)    AKME+</t>
  </si>
  <si>
    <t>C-1097</t>
  </si>
  <si>
    <t>Цилиндр (в сборе)  Goodluck GL 5200 (поршень с покрытием TEFLON)    AKME+</t>
  </si>
  <si>
    <t>C-100</t>
  </si>
  <si>
    <t>Цилиндр (в сборе)  Goodluck GL 5800   AKME</t>
  </si>
  <si>
    <t>C-1060</t>
  </si>
  <si>
    <t>Цилиндр (в сборе)  Zenoah 2500    AKME</t>
  </si>
  <si>
    <t>J-74</t>
  </si>
  <si>
    <t>Шкив стартера (легкий пуск)  Goodluck GL 4500/5200</t>
  </si>
  <si>
    <t>H-1067</t>
  </si>
  <si>
    <t>Шкив стартера Goodluck GL 3800 (лёгкий пуск)</t>
  </si>
  <si>
    <t>J-77</t>
  </si>
  <si>
    <t>Шкив стартера Goodluck GL 4500 EMAS Taiwan</t>
  </si>
  <si>
    <t>H-1072</t>
  </si>
  <si>
    <t>Шланг топливный Goodluck GL 4500/5200</t>
  </si>
  <si>
    <t>J-104</t>
  </si>
  <si>
    <t>Шпилька шины Goodluck GL 4500/5200</t>
  </si>
  <si>
    <t>A-108</t>
  </si>
  <si>
    <t>Амортизатор рукоятки (кольцевой буфер) Stihl 361</t>
  </si>
  <si>
    <t>B-6</t>
  </si>
  <si>
    <t>Бак масляный   STIHL MS 180</t>
  </si>
  <si>
    <t>B-77</t>
  </si>
  <si>
    <t>Бензобак STIHL MS 180</t>
  </si>
  <si>
    <t>G-9338</t>
  </si>
  <si>
    <t>Глушитель STIHL MS 230/250</t>
  </si>
  <si>
    <t>G-9339</t>
  </si>
  <si>
    <t>Глушитель STIHL MS 361</t>
  </si>
  <si>
    <t>D-1022</t>
  </si>
  <si>
    <t>Декомпрессор STIHL MS 361</t>
  </si>
  <si>
    <t>D-40</t>
  </si>
  <si>
    <t>Демпфер (в сборе)  STIHL MS 180</t>
  </si>
  <si>
    <t>A-38</t>
  </si>
  <si>
    <t>Демпфер (голый)  STIHL MS 180</t>
  </si>
  <si>
    <t>D-1036</t>
  </si>
  <si>
    <t>Демпфер STIHL MS 361</t>
  </si>
  <si>
    <t>D-1023</t>
  </si>
  <si>
    <t>Демпферная пружина STIHL MS 361</t>
  </si>
  <si>
    <t>Z-33</t>
  </si>
  <si>
    <t>Звезда (венец привода)  3/8 -7   STIHL MS 180</t>
  </si>
  <si>
    <t>K-5201</t>
  </si>
  <si>
    <t>Карбюратор STIHL MS 170/180   Walbro</t>
  </si>
  <si>
    <t>K-5414</t>
  </si>
  <si>
    <t>Карбюратор STIHL MS 170/180   Walbro   AKME+</t>
  </si>
  <si>
    <t>K-17</t>
  </si>
  <si>
    <t>Карбюратор STIHL MS 180   ZAMA</t>
  </si>
  <si>
    <t>K-18</t>
  </si>
  <si>
    <t>Карбюратор STIHL MS 230/250   WALBRO</t>
  </si>
  <si>
    <t>K-5415</t>
  </si>
  <si>
    <t>Карбюратор STIHL MS 230/250   WALBRO   AKME+</t>
  </si>
  <si>
    <t>K-5193</t>
  </si>
  <si>
    <t>Карбюратор STIHL MS 361 Zama</t>
  </si>
  <si>
    <t>K-5190</t>
  </si>
  <si>
    <t>Картер (в сборе) STIHL MS 361</t>
  </si>
  <si>
    <t>K-5226</t>
  </si>
  <si>
    <t>Катушка зажигания  STIHL MS 361</t>
  </si>
  <si>
    <t>K-88</t>
  </si>
  <si>
    <t>Катушка зажигания STIHL MS  230/250</t>
  </si>
  <si>
    <t>K-1325</t>
  </si>
  <si>
    <t>Катушка зажигания STIHL MS 180   AKME</t>
  </si>
  <si>
    <t>K-5215</t>
  </si>
  <si>
    <t>Кнопка стопа  STIHL MS 361 (привод)</t>
  </si>
  <si>
    <t>K-5203</t>
  </si>
  <si>
    <t>Коленвал STIHL MS 170 (палец d=8mm)</t>
  </si>
  <si>
    <t>K-359</t>
  </si>
  <si>
    <t>Кольца STIHL MS 180  (коричневые)</t>
  </si>
  <si>
    <t>K-360</t>
  </si>
  <si>
    <t>Кольца STIHL MS 210/230 (чёрные)</t>
  </si>
  <si>
    <t>K-361</t>
  </si>
  <si>
    <t>Кольца STIHL MS 250 (чёрные)</t>
  </si>
  <si>
    <t>T-1023</t>
  </si>
  <si>
    <t>Корзина сцепления разборная Stihl MS 361 (+звезда 3/8-7 + сепаратор)</t>
  </si>
  <si>
    <t>K-433</t>
  </si>
  <si>
    <t>Корпус фильтра (в сборе) STIHL MS 180</t>
  </si>
  <si>
    <t>K-435</t>
  </si>
  <si>
    <t>Корпус фильтра (в сборе) STIHL MS 230/250</t>
  </si>
  <si>
    <t>K-5376</t>
  </si>
  <si>
    <t>Корпус фильтра (голый) STIHL MS 180</t>
  </si>
  <si>
    <t>K-5301</t>
  </si>
  <si>
    <t>Крышка воздушного фильтра  STIHL MS 361</t>
  </si>
  <si>
    <t>K-5214</t>
  </si>
  <si>
    <t>Крышка воздушного фильтра Stihl MS 230/250</t>
  </si>
  <si>
    <t>K-517</t>
  </si>
  <si>
    <t>Крышка двигателя STIHL MS 180</t>
  </si>
  <si>
    <t>K-5230</t>
  </si>
  <si>
    <t>Крышка двигателя STIHL MS 361</t>
  </si>
  <si>
    <t>K-539</t>
  </si>
  <si>
    <t>Крышка стартера голая  STIHL MS 180 EMAS Taiwan</t>
  </si>
  <si>
    <t>K-5197</t>
  </si>
  <si>
    <t>Крышка сцепления STIHL MS 361</t>
  </si>
  <si>
    <t>T-223</t>
  </si>
  <si>
    <t>Крышка тормоза STIHL MS 230-250</t>
  </si>
  <si>
    <t>L-542</t>
  </si>
  <si>
    <t>Лента тормоза STIHL MS 170/180</t>
  </si>
  <si>
    <t>M-12</t>
  </si>
  <si>
    <t>Магнето  STIHL MS 180   AKME</t>
  </si>
  <si>
    <t>M-14</t>
  </si>
  <si>
    <t>Магнето  STIHL MS 230/250</t>
  </si>
  <si>
    <t>M-1031</t>
  </si>
  <si>
    <t>Магнето  STIHL MS 361   AKME</t>
  </si>
  <si>
    <t>M-1010</t>
  </si>
  <si>
    <t>Маслонасос STIHL MS 180</t>
  </si>
  <si>
    <t>M-1024</t>
  </si>
  <si>
    <t>Маслонасос STIHL MS 361</t>
  </si>
  <si>
    <t>M-1027</t>
  </si>
  <si>
    <t>Маслошланг STIHL MS 361</t>
  </si>
  <si>
    <t>M-50</t>
  </si>
  <si>
    <t>Механизм ручки тормоза STIHL MS 180 EMAS Taiwan</t>
  </si>
  <si>
    <t>M-62</t>
  </si>
  <si>
    <t>Муфта сцепления STIHL MS 180 EMAS Taiwan</t>
  </si>
  <si>
    <t>N-5103</t>
  </si>
  <si>
    <t>Набор прокладок STIHL MS 361</t>
  </si>
  <si>
    <t>N-5106</t>
  </si>
  <si>
    <t>Натяжитель цепи  STIHL MS 170/180</t>
  </si>
  <si>
    <t>N-5107</t>
  </si>
  <si>
    <t>Натяжитель шины STIHL MS 361</t>
  </si>
  <si>
    <t>P-12</t>
  </si>
  <si>
    <t>Палец поршневой Ø10mm  STIHL MS 180</t>
  </si>
  <si>
    <t>P-9704</t>
  </si>
  <si>
    <t>Палец поршневой Ø8mm  STIHL MS 180</t>
  </si>
  <si>
    <t>P-9562</t>
  </si>
  <si>
    <t>Патрубок карбюратора STIHL MS 180 (с кольцом)</t>
  </si>
  <si>
    <t>P-9527</t>
  </si>
  <si>
    <t>Патрубок карбюратора STIHL MS 361</t>
  </si>
  <si>
    <t>P-9538</t>
  </si>
  <si>
    <t>Поддон цилиндра STIHL MS 170/180</t>
  </si>
  <si>
    <t>P-166</t>
  </si>
  <si>
    <t>Подшипники коленвала STIHL MS 180  (2 шт)</t>
  </si>
  <si>
    <t>P-9000</t>
  </si>
  <si>
    <t>Поршень (в сборе) STIHL MS 180   AKME</t>
  </si>
  <si>
    <t>P-5900</t>
  </si>
  <si>
    <t>Поршень (в сборе) STIHL MS 180  (коричневые кольца)</t>
  </si>
  <si>
    <t>P-9756</t>
  </si>
  <si>
    <t>Поршень (в сборе) STIHL MS 180 (покрытие GRAPHITE)   AKME+</t>
  </si>
  <si>
    <t>P-305</t>
  </si>
  <si>
    <t>Поршень (в сборе) STIHL MS 210/230</t>
  </si>
  <si>
    <t>P-306</t>
  </si>
  <si>
    <t>Поршень (в сборе) STIHL MS 250</t>
  </si>
  <si>
    <t>P-9545</t>
  </si>
  <si>
    <t>Поршень (в сборе) STIHL MS 361</t>
  </si>
  <si>
    <t>P-471</t>
  </si>
  <si>
    <t>Привод заслонки и стопа STIHL MS 180 EMAS Taiwan</t>
  </si>
  <si>
    <t>P-9708</t>
  </si>
  <si>
    <t>Привод заслонки и стопа STIHL MS 361</t>
  </si>
  <si>
    <t>P-473</t>
  </si>
  <si>
    <t>Привод карбюратора ( тяжка ) STIHL MS 180</t>
  </si>
  <si>
    <t>P-9552</t>
  </si>
  <si>
    <t>Привод маслонасоса  Stihl MS 361</t>
  </si>
  <si>
    <t>P-479</t>
  </si>
  <si>
    <t>Привод маслонасоса STIHL MS 180  EMAS Taiwan</t>
  </si>
  <si>
    <t>P-480</t>
  </si>
  <si>
    <t>Привод маслонасоса STIHL MS 230/250</t>
  </si>
  <si>
    <t>P-9705</t>
  </si>
  <si>
    <t>Прокладка крышки бака STIHL MS 180</t>
  </si>
  <si>
    <t>D-1049</t>
  </si>
  <si>
    <t>Пружина (амортизатор) с фиксатором  STIHL MS 361</t>
  </si>
  <si>
    <t>P-594</t>
  </si>
  <si>
    <t>Пружина курка газа STIHL MS 180  EMAS Taiwan</t>
  </si>
  <si>
    <t>P-598</t>
  </si>
  <si>
    <t>Пружина ручки тормоза STIHL MS 180 EMAS Taiwan</t>
  </si>
  <si>
    <t>P-9551</t>
  </si>
  <si>
    <t>Пружина стартера  STIHL MS 361</t>
  </si>
  <si>
    <t>P-9766</t>
  </si>
  <si>
    <t>Пружина стартера  STIHL MS 361 (блистер)</t>
  </si>
  <si>
    <t>P-9535</t>
  </si>
  <si>
    <t>Пружина стартера STIHL MS 170/180</t>
  </si>
  <si>
    <t>P-9111</t>
  </si>
  <si>
    <t>Пружина стартера STIHL MS 180</t>
  </si>
  <si>
    <t>P-9767</t>
  </si>
  <si>
    <t>Пружина стартера STIHL MS 180 (блистер)</t>
  </si>
  <si>
    <t>R-122</t>
  </si>
  <si>
    <t>Ремкомплект карбюратора STIHL MS 180</t>
  </si>
  <si>
    <t>R-1058</t>
  </si>
  <si>
    <t>Ремкомплект карбюратора STIHL MS 230/250</t>
  </si>
  <si>
    <t>R-110</t>
  </si>
  <si>
    <t>Ремкомплект карбюратора STIHL MS 230/250 (полный)</t>
  </si>
  <si>
    <t>R-1059</t>
  </si>
  <si>
    <t>Ремкомплект карбюратора STIHL MS 361</t>
  </si>
  <si>
    <t>R-1062</t>
  </si>
  <si>
    <t>Ремкомплект карбюратора STIHL MS 361 (полный)</t>
  </si>
  <si>
    <t>R-1108</t>
  </si>
  <si>
    <t>Ручка стартера STIHL MS 180</t>
  </si>
  <si>
    <t>Z-1067</t>
  </si>
  <si>
    <t>Ручка тормоза (защита рук) STIHL MS 170/180</t>
  </si>
  <si>
    <t>Z-1070</t>
  </si>
  <si>
    <t>Ручка тормоза (защита рук) STIHL MS 361</t>
  </si>
  <si>
    <t>S-5291</t>
  </si>
  <si>
    <t>Сальники коленвала Stihl MS 170/180  (зелёные, 2шт)</t>
  </si>
  <si>
    <t>S-5293</t>
  </si>
  <si>
    <t>Сальники коленвала Stihl MS 170/180  (синие, 2шт)</t>
  </si>
  <si>
    <t>S-36</t>
  </si>
  <si>
    <t>Сальники коленвала STIHL MS 230/250 (2шт)</t>
  </si>
  <si>
    <t>S-5249</t>
  </si>
  <si>
    <t>Сальники коленвала STIHL MS 361 (2шт)</t>
  </si>
  <si>
    <t>S-44</t>
  </si>
  <si>
    <t>Сапун бензобака STIHL MS 180  EMAS Taiwan</t>
  </si>
  <si>
    <t>S-90</t>
  </si>
  <si>
    <t>Сепаратор корзины сцепления  STIHL MS 180</t>
  </si>
  <si>
    <t>S-82</t>
  </si>
  <si>
    <t>Сепаратор пальца поршневого Ø10mm STIHL MS 180</t>
  </si>
  <si>
    <t>S-5273</t>
  </si>
  <si>
    <t>Сепаратор пальца поршневого STIHL MS 361</t>
  </si>
  <si>
    <t>S-5236</t>
  </si>
  <si>
    <t>Собачка стартера (в сборе) STIHL MS 180</t>
  </si>
  <si>
    <t>S-5652</t>
  </si>
  <si>
    <t>Собачка стартера (голая) STIHL MS 180</t>
  </si>
  <si>
    <t>S-154</t>
  </si>
  <si>
    <t>Стартер (в сборе)  STIHL MS 180</t>
  </si>
  <si>
    <t>S-5250</t>
  </si>
  <si>
    <t>Стартер (в сборе)  STIHL MS 361</t>
  </si>
  <si>
    <t>S-199</t>
  </si>
  <si>
    <t>Сцепление (в сборе)    STIHL MS 180</t>
  </si>
  <si>
    <t>S-200</t>
  </si>
  <si>
    <t>Сцепление (в сборе)   STIHL MS 180   EMAS Taiwan</t>
  </si>
  <si>
    <t>S-5251</t>
  </si>
  <si>
    <t>Сцепление (в сборе) STIHL MS 361</t>
  </si>
  <si>
    <t>U-7</t>
  </si>
  <si>
    <t>Упор зубчатый   Stihl MS 180/170</t>
  </si>
  <si>
    <t>F-32</t>
  </si>
  <si>
    <t>Фиксатор крышки двигателя STIHL MS 180</t>
  </si>
  <si>
    <t>F-38</t>
  </si>
  <si>
    <t>Фильтр бензиновый STIHL MS 180</t>
  </si>
  <si>
    <t>F-59</t>
  </si>
  <si>
    <t>Фильтр маслянный  STIHL MS 180</t>
  </si>
  <si>
    <t>K-1330</t>
  </si>
  <si>
    <t>Хомут патрубка карбюратора STIHL MS 180</t>
  </si>
  <si>
    <t>C-109</t>
  </si>
  <si>
    <t>Цилиндр (в сборе)  STIHL MS 180  AKME</t>
  </si>
  <si>
    <t>C-111</t>
  </si>
  <si>
    <t>Цилиндр (в сборе)  STIHL MS 230   AKME</t>
  </si>
  <si>
    <t>C-112</t>
  </si>
  <si>
    <t>Цилиндр (в сборе)  STIHL MS 250</t>
  </si>
  <si>
    <t>C-115</t>
  </si>
  <si>
    <t>Цилиндр (в сборе)  STIHL MS 361   AKME</t>
  </si>
  <si>
    <t>C-128</t>
  </si>
  <si>
    <t>Цилиндр (в сборе)  STIHL MS 361  CHROME Nikasil  (тёмный)</t>
  </si>
  <si>
    <t>C-114</t>
  </si>
  <si>
    <t>Цилиндр (голый) STIHL MS 290</t>
  </si>
  <si>
    <t>J-3167</t>
  </si>
  <si>
    <t>Шайба звезды тарелки сцепления STIHL MS 180</t>
  </si>
  <si>
    <t>J-1</t>
  </si>
  <si>
    <t>Шайба под сцепление  STIHL MS 180</t>
  </si>
  <si>
    <t>J-73</t>
  </si>
  <si>
    <t>Шкив стартера  STIHL MS 180 EMAS Taiwan</t>
  </si>
  <si>
    <t>J-80</t>
  </si>
  <si>
    <t>Шкив стартера STIHL MS 230/250</t>
  </si>
  <si>
    <t>H-1037</t>
  </si>
  <si>
    <t>Шкив стартера STIHL MS 361</t>
  </si>
  <si>
    <t>P-44</t>
  </si>
  <si>
    <t>Шланг масляного бака STIHL MS 180/170</t>
  </si>
  <si>
    <t>P-45</t>
  </si>
  <si>
    <t>Шланг топливный  STIHL MS 170/180</t>
  </si>
  <si>
    <t>B-70</t>
  </si>
  <si>
    <t>Шланг топливный STIHL MS 230/250</t>
  </si>
  <si>
    <t>B-71</t>
  </si>
  <si>
    <t>Шланг топливный STIHL MS 361</t>
  </si>
  <si>
    <t>J-101</t>
  </si>
  <si>
    <t>Шпилька карбюратора STIHL MS 180 EMAS Taiwan</t>
  </si>
  <si>
    <t>H-1026</t>
  </si>
  <si>
    <t>Шпилька шины STIHL MS 180</t>
  </si>
  <si>
    <t>H-1036</t>
  </si>
  <si>
    <t>Шпилька шины Stihl MS 361</t>
  </si>
  <si>
    <t>F-501</t>
  </si>
  <si>
    <t>Элемент воздушного фильтра STIHL MS 180 ORIGINAL</t>
  </si>
  <si>
    <t>F-1104</t>
  </si>
  <si>
    <t>Элемент воздушного фильтра STIHL MS 181 ORIGINAL</t>
  </si>
  <si>
    <t>F-51</t>
  </si>
  <si>
    <t>Элемент воздушного фильтра STIHL MS 230/250</t>
  </si>
  <si>
    <t>F-1071</t>
  </si>
  <si>
    <t>Элемент воздушного фильтра STIHL MS 230/250 mod 2</t>
  </si>
  <si>
    <t>G-9334</t>
  </si>
  <si>
    <t>Глушитель Husqvarna 137/142</t>
  </si>
  <si>
    <t>G-9340</t>
  </si>
  <si>
    <t>Глушитель Husqvarna 350</t>
  </si>
  <si>
    <t>G-9335</t>
  </si>
  <si>
    <t>Глушитель Husqvarna 365</t>
  </si>
  <si>
    <t>D-1021</t>
  </si>
  <si>
    <t>Декомпрессор Husqvarna 350</t>
  </si>
  <si>
    <t>D-39</t>
  </si>
  <si>
    <t>Демпфер   Husqvarna 137/142</t>
  </si>
  <si>
    <t>Z-1071</t>
  </si>
  <si>
    <t>Звезда (венец привода) 3/8- 7   Husqwarna 365</t>
  </si>
  <si>
    <t>I-1</t>
  </si>
  <si>
    <t>Импульсная резинка (патрубок маленький)  Husqvarna 137/142</t>
  </si>
  <si>
    <t>K-14</t>
  </si>
  <si>
    <t>Карбюратор Husqvarna 137/142</t>
  </si>
  <si>
    <t>K-5416</t>
  </si>
  <si>
    <t>Карбюратор Husqvarna 137/142   AKME+</t>
  </si>
  <si>
    <t>K-5186</t>
  </si>
  <si>
    <t>Карбюратор Husqvarna 350 Walbro</t>
  </si>
  <si>
    <t>K-16</t>
  </si>
  <si>
    <t>Карбюратор Husqvarna 365   WALBRO</t>
  </si>
  <si>
    <t>K-63</t>
  </si>
  <si>
    <t>Картер (в сборе) Husqvarna 365</t>
  </si>
  <si>
    <t>K-72</t>
  </si>
  <si>
    <t>Катушка зажигания  Husqvarna 137/142</t>
  </si>
  <si>
    <t>K-5225</t>
  </si>
  <si>
    <t>Катушка зажигания  Husqvarna 350</t>
  </si>
  <si>
    <t>K-5202</t>
  </si>
  <si>
    <t>Катушка зажигания Husqvarna 365</t>
  </si>
  <si>
    <t>K-133</t>
  </si>
  <si>
    <t>Кнопка стопа  Husqvarna 137/142</t>
  </si>
  <si>
    <t>K-134</t>
  </si>
  <si>
    <t>Кнопка стопа  Husqvarna 365</t>
  </si>
  <si>
    <t>K-5191</t>
  </si>
  <si>
    <t>Кнопка стопа Husqvarna 350</t>
  </si>
  <si>
    <t>K-143</t>
  </si>
  <si>
    <t>Коленвал Husqvarna 137/142</t>
  </si>
  <si>
    <t>K-5192</t>
  </si>
  <si>
    <t>Коленвал Husqvarna 350</t>
  </si>
  <si>
    <t>K-144</t>
  </si>
  <si>
    <t>Коленвал Husqvarna 365</t>
  </si>
  <si>
    <t>K-356</t>
  </si>
  <si>
    <t>Кольца Husqvarna 142 EMAS Taiwan в пластике</t>
  </si>
  <si>
    <t>K-397</t>
  </si>
  <si>
    <t>Корзина сцепления разборная Husqvarna 137/142 (+звезда 325-7 + сепаратор)</t>
  </si>
  <si>
    <t>T-1017</t>
  </si>
  <si>
    <t>Корзина сцепления разборная Husqvarna 365 (+звезда)</t>
  </si>
  <si>
    <t>K-400</t>
  </si>
  <si>
    <t>Корзина сцепления цельная Husqvarna 137/142  (+сепаратор)</t>
  </si>
  <si>
    <t>P-493</t>
  </si>
  <si>
    <t>Крышка бака Husqvarna 137/142</t>
  </si>
  <si>
    <t>P-495</t>
  </si>
  <si>
    <t>Крышка бака Husqvarna 365</t>
  </si>
  <si>
    <t>K-5194</t>
  </si>
  <si>
    <t>Крышка бензобака Husqvarna 350</t>
  </si>
  <si>
    <t>K-5205</t>
  </si>
  <si>
    <t>Крышка воздушного фильтра Husqvarna 365</t>
  </si>
  <si>
    <t>K-5206</t>
  </si>
  <si>
    <t>Крышка двигателя Husqvarna 365</t>
  </si>
  <si>
    <t>P-500</t>
  </si>
  <si>
    <t>Крышка маслобака   Husqvarna 137/142</t>
  </si>
  <si>
    <t>P-501</t>
  </si>
  <si>
    <t>Крышка маслобака   Husqvarna 365</t>
  </si>
  <si>
    <t>M-8</t>
  </si>
  <si>
    <t>Магнето Husqvarna 365</t>
  </si>
  <si>
    <t>M-1032</t>
  </si>
  <si>
    <t>Магнето Husqwarna 350</t>
  </si>
  <si>
    <t>M-24</t>
  </si>
  <si>
    <t>Маслонасос Husqvarna 137/142</t>
  </si>
  <si>
    <t>M-1046</t>
  </si>
  <si>
    <t>Маслонасос Husqvarna 340/345/445/450</t>
  </si>
  <si>
    <t>M-25</t>
  </si>
  <si>
    <t>Маслонасос Husqvarna 365</t>
  </si>
  <si>
    <t>M-36</t>
  </si>
  <si>
    <t>Маслошланг Husqvarna 137/142</t>
  </si>
  <si>
    <t>M-1025</t>
  </si>
  <si>
    <t>Маслошланг Husqvarna 365</t>
  </si>
  <si>
    <t>N-5101</t>
  </si>
  <si>
    <t>Набор прокладок Husqvarna 365</t>
  </si>
  <si>
    <t>N-42</t>
  </si>
  <si>
    <t>Натяжитель цепы  Husqvarna 137/142</t>
  </si>
  <si>
    <t>N-5105</t>
  </si>
  <si>
    <t>Натяжитель шины Husqvarna 365</t>
  </si>
  <si>
    <t>P-32</t>
  </si>
  <si>
    <t>Патрубок карбюратора  Husqvarna 137/142</t>
  </si>
  <si>
    <t>P-33</t>
  </si>
  <si>
    <t>Патрубок карбюратора ( квадрат )  Husqvarna 365</t>
  </si>
  <si>
    <t>P-34</t>
  </si>
  <si>
    <t>Патрубок карбюратора ( круг )  Husqvarna 365</t>
  </si>
  <si>
    <t>P-9536</t>
  </si>
  <si>
    <t>Переходник карбюратора  Husqvarna 137/142</t>
  </si>
  <si>
    <t>P-9529</t>
  </si>
  <si>
    <t>Плата шины Husqvarna 365</t>
  </si>
  <si>
    <t>P-5902</t>
  </si>
  <si>
    <t>Поддон Husqvarna 137/142</t>
  </si>
  <si>
    <t>P-9630</t>
  </si>
  <si>
    <t>Подшипник коленвала  Husqvarna 365 (1шт)</t>
  </si>
  <si>
    <t>P-254</t>
  </si>
  <si>
    <t>Поршень (в сборе) Husqvarna 137   EMAS Taiwan</t>
  </si>
  <si>
    <t>P-294</t>
  </si>
  <si>
    <t>Поршень (в сборе) Husqvarna 137 (чёрные кольца)</t>
  </si>
  <si>
    <t>P-255</t>
  </si>
  <si>
    <t>Поршень (в сборе) Husqvarna 142  AKME</t>
  </si>
  <si>
    <t>P-295</t>
  </si>
  <si>
    <t>Поршень (в сборе) Husqvarna 142 (коричневые кольца)</t>
  </si>
  <si>
    <t>P-9541</t>
  </si>
  <si>
    <t>Поршень (в сборе) Husqvarna 340</t>
  </si>
  <si>
    <t>P-9542</t>
  </si>
  <si>
    <t>Поршень (в сборе) Husqvarna 345</t>
  </si>
  <si>
    <t>P-9543</t>
  </si>
  <si>
    <t>Поршень (в сборе) Husqvarna 350</t>
  </si>
  <si>
    <t>P-256</t>
  </si>
  <si>
    <t>Поршень (в сборе) Husqvarna 365</t>
  </si>
  <si>
    <t>P-9546</t>
  </si>
  <si>
    <t>Привод заслонки Husqvarna 365</t>
  </si>
  <si>
    <t>P-477</t>
  </si>
  <si>
    <t>Привод маслонасоса Husqvarna 137/142</t>
  </si>
  <si>
    <t>P-478</t>
  </si>
  <si>
    <t>Привод маслонасоса Husqvarna 365</t>
  </si>
  <si>
    <t>P-9530</t>
  </si>
  <si>
    <t>Привод масляного насоса Husqvarna 350</t>
  </si>
  <si>
    <t>P-9531</t>
  </si>
  <si>
    <t>Привод масляного насоса Husqvarna 445/450</t>
  </si>
  <si>
    <t>P-578</t>
  </si>
  <si>
    <t>Прокладки цилиндра (набор)  Husqvarna 137/142</t>
  </si>
  <si>
    <t>P-600</t>
  </si>
  <si>
    <t>Пружина стартера  Husqvarna 137/142 EMAS Taiwan</t>
  </si>
  <si>
    <t>P-601</t>
  </si>
  <si>
    <t>Пружина стартера  Husqvarna 365</t>
  </si>
  <si>
    <t>P-9768</t>
  </si>
  <si>
    <t>Пружина стартера  Husqvarna 365 (блистер)</t>
  </si>
  <si>
    <t>P-610</t>
  </si>
  <si>
    <t>Пружина сцепления (длинная)   Husqvarna 137/142   EMAS Taiwan</t>
  </si>
  <si>
    <t>R-108</t>
  </si>
  <si>
    <t>Ремкомплект карбюратора Husqvarna 137/142</t>
  </si>
  <si>
    <t>R-1147</t>
  </si>
  <si>
    <t>Ремкомплект карбюратора Husqvarna 137/142   RGN</t>
  </si>
  <si>
    <t>R-135</t>
  </si>
  <si>
    <t>Ремкомплект карбюратора Husqvarna 137/142 (полный)</t>
  </si>
  <si>
    <t>R-1056</t>
  </si>
  <si>
    <t>Ремкомплект карбюратора Husqvarna 350</t>
  </si>
  <si>
    <t>R-1057</t>
  </si>
  <si>
    <t>Ремкомплект карбюратора Husqvarna 365</t>
  </si>
  <si>
    <t>R-1061</t>
  </si>
  <si>
    <t>Ремкомплект карбюратора Husqvarna 365 (полный)</t>
  </si>
  <si>
    <t>R-1068</t>
  </si>
  <si>
    <t>Рукоятка (в сборе) Husqvarna 350</t>
  </si>
  <si>
    <t>R-219</t>
  </si>
  <si>
    <t>Руль  Husqvarna 137/142</t>
  </si>
  <si>
    <t>R-159</t>
  </si>
  <si>
    <t>Руль  Husqvarna 365</t>
  </si>
  <si>
    <t>R-1067</t>
  </si>
  <si>
    <t>Руль Husqvarna 350</t>
  </si>
  <si>
    <t>R-182</t>
  </si>
  <si>
    <t>Ручка стартера  Husqvarna 137/142   EMAS Taiwan</t>
  </si>
  <si>
    <t>R-1066</t>
  </si>
  <si>
    <t>Ручка тормоза (защита рук) Husqvarna 137/142</t>
  </si>
  <si>
    <t>R-186</t>
  </si>
  <si>
    <t>Ручка тормоза (защита рук) Husqvarna 365</t>
  </si>
  <si>
    <t>S-35</t>
  </si>
  <si>
    <t>Сальники коленвала  Husqvarna 365 (комплект)</t>
  </si>
  <si>
    <t>S-5272</t>
  </si>
  <si>
    <t>Сепаратор корзины сцепления  Husqvarna 350</t>
  </si>
  <si>
    <t>S-89</t>
  </si>
  <si>
    <t>Сепаратор корзины сцепления  Husqvarna 365</t>
  </si>
  <si>
    <t>S-5325</t>
  </si>
  <si>
    <t>Сепаратор поршня  Husqvarna 350</t>
  </si>
  <si>
    <t>S-87</t>
  </si>
  <si>
    <t>Сепаратор сцепления  Husqvarna 137/142</t>
  </si>
  <si>
    <t>S-145</t>
  </si>
  <si>
    <t>Стартер  Husqvarna 365</t>
  </si>
  <si>
    <t>S-144</t>
  </si>
  <si>
    <t>Стартер (в сборе)  Husqvarna 137/142</t>
  </si>
  <si>
    <t>S-5255</t>
  </si>
  <si>
    <t>Стартер (в сборе)  Husqvarna 350</t>
  </si>
  <si>
    <t>S-5343</t>
  </si>
  <si>
    <t>Стартер (голый)  Husqvarna 137/142</t>
  </si>
  <si>
    <t>S-202</t>
  </si>
  <si>
    <t>Сцепление (в сборе)  Husqvarna 137/142</t>
  </si>
  <si>
    <t>S-201</t>
  </si>
  <si>
    <t>Сцепление (в сборе)  Husqvarna 137/142   AKME</t>
  </si>
  <si>
    <t>S-203</t>
  </si>
  <si>
    <t>Сцепление (в сборе)  Husqvarna 365</t>
  </si>
  <si>
    <t>S-5258</t>
  </si>
  <si>
    <t>Сцепление Husqvarna 350</t>
  </si>
  <si>
    <t>T-1016</t>
  </si>
  <si>
    <t>Тяга заслонки карбюратора Husqvarna 350</t>
  </si>
  <si>
    <t>F-1072</t>
  </si>
  <si>
    <t>Фильтр воздушный (в сборе) Husqvarna 365</t>
  </si>
  <si>
    <t>F-1073</t>
  </si>
  <si>
    <t>Фильтр воздушный (в сборе) Husqvarna 445/450</t>
  </si>
  <si>
    <t>F-58</t>
  </si>
  <si>
    <t>Фильтр маслянный  Husqvarna 137/142</t>
  </si>
  <si>
    <t>F-1074</t>
  </si>
  <si>
    <t>Фильтр масляный Husqvarna 365</t>
  </si>
  <si>
    <t>H-12</t>
  </si>
  <si>
    <t>Храповик стартера  Husqvarna 137/142   EMAS Taiwan</t>
  </si>
  <si>
    <t>C-93</t>
  </si>
  <si>
    <t>Цилиндр (в сборе)  Husqvarna 137   AKME</t>
  </si>
  <si>
    <t>C-69</t>
  </si>
  <si>
    <t>Цилиндр (в сборе)  Husqvarna 137   EMAS Taiwan</t>
  </si>
  <si>
    <t>C-70</t>
  </si>
  <si>
    <t>Цилиндр (в сборе)  Husqvarna 137 коричневые кольца ULTRA  качество CHROME Nikasil</t>
  </si>
  <si>
    <t>C-72</t>
  </si>
  <si>
    <t>Цилиндр (в сборе)  Husqvarna 142   AKME</t>
  </si>
  <si>
    <t>C-71</t>
  </si>
  <si>
    <t>Цилиндр (в сборе)  Husqvarna 142   EMAS Taiwan</t>
  </si>
  <si>
    <t>C-94</t>
  </si>
  <si>
    <t>Цилиндр (в сборе)  Husqvarna 142  коричневые кольца ULTRA качество CHROME Nikasil (тёмный)</t>
  </si>
  <si>
    <t>C-73</t>
  </si>
  <si>
    <t>Цилиндр (в сборе)  Husqvarna 240/236 тёмный ULTRA качество CHROME Nikasil</t>
  </si>
  <si>
    <t>C-1083</t>
  </si>
  <si>
    <t>Цилиндр (в сборе)  Husqvarna 268</t>
  </si>
  <si>
    <t>C-88</t>
  </si>
  <si>
    <t>Цилиндр (в сборе)  Husqvarna 365 CROME Nikasil (квадрат)</t>
  </si>
  <si>
    <t>C-89</t>
  </si>
  <si>
    <t>Цилиндр (в сборе)  Husqvarna 365 CROME Nikasil (круг)</t>
  </si>
  <si>
    <t>C-1078</t>
  </si>
  <si>
    <t>Цилиндр (в сборе)  Husqvarna 61</t>
  </si>
  <si>
    <t>J-81</t>
  </si>
  <si>
    <t>Шкив стартера Husqvarna 137/142 ( в сборе)</t>
  </si>
  <si>
    <t>H-1030</t>
  </si>
  <si>
    <t>Шкив стартера Husqvarna 350</t>
  </si>
  <si>
    <t>J-72</t>
  </si>
  <si>
    <t>Шкив стартера Husqvarna 365</t>
  </si>
  <si>
    <t>H-1031</t>
  </si>
  <si>
    <t>Шкив стартера Husqvarna 445/450</t>
  </si>
  <si>
    <t>F-40</t>
  </si>
  <si>
    <t>Элемент воздушного фильтра Husqvarna 137/142  (фибра)</t>
  </si>
  <si>
    <t>G-7</t>
  </si>
  <si>
    <t>Гайка шины Partner 350</t>
  </si>
  <si>
    <t>G-9336</t>
  </si>
  <si>
    <t>Глушитель Partner 350/351</t>
  </si>
  <si>
    <t>K-5187</t>
  </si>
  <si>
    <t>Карбюратор Partner 350/351</t>
  </si>
  <si>
    <t>K-5417</t>
  </si>
  <si>
    <t>Карбюратор Partner 350/351   AKME+</t>
  </si>
  <si>
    <t>K-33</t>
  </si>
  <si>
    <t>Карбюратор Partner 350/351   WALBRO</t>
  </si>
  <si>
    <t>K-87</t>
  </si>
  <si>
    <t>Катушка зажигания Partner 350/351</t>
  </si>
  <si>
    <t>K-135</t>
  </si>
  <si>
    <t>Кнопка стопа Partner 350</t>
  </si>
  <si>
    <t>K-146</t>
  </si>
  <si>
    <t>Коленвал Partner 350/351</t>
  </si>
  <si>
    <t>K-327</t>
  </si>
  <si>
    <t>Кольца Partner 350  (Ø38.00mm)</t>
  </si>
  <si>
    <t>K-214</t>
  </si>
  <si>
    <t>Кольца Partner 350 (Ø41.00mm)</t>
  </si>
  <si>
    <t>T-3</t>
  </si>
  <si>
    <t>Корзина сцепления цельная Partner 350/351 (звезда 3/8-6)</t>
  </si>
  <si>
    <t>K-432</t>
  </si>
  <si>
    <t>Корпус фильтра (в сборе) Partner 350/351  (без фильтра)</t>
  </si>
  <si>
    <t>P-497</t>
  </si>
  <si>
    <t>Крышка бака PARTNER    EMAS Taiwan</t>
  </si>
  <si>
    <t>P-502</t>
  </si>
  <si>
    <t>Крышка маслобака Partner 350/351</t>
  </si>
  <si>
    <t>K-540</t>
  </si>
  <si>
    <t>Крышка стартера ручного   Partner 350   EMAS Taiwan</t>
  </si>
  <si>
    <t>K-548</t>
  </si>
  <si>
    <t>Крышка цилиндра нижняя Partner 350    EMAS Taiwan</t>
  </si>
  <si>
    <t>M-11</t>
  </si>
  <si>
    <t>Магнето Partner 350/351   AKME</t>
  </si>
  <si>
    <t>M-26</t>
  </si>
  <si>
    <t>Маслонасос Partner 350/351</t>
  </si>
  <si>
    <t>M-37</t>
  </si>
  <si>
    <t>Маслошланг Partner 350   EMAS Taiwan</t>
  </si>
  <si>
    <t>N-5102</t>
  </si>
  <si>
    <t>Набор прокладок Partner 350/351</t>
  </si>
  <si>
    <t>N-35</t>
  </si>
  <si>
    <t>Натяжитель цепи   Partner 350   EMAS Taiwan</t>
  </si>
  <si>
    <t>P-9528</t>
  </si>
  <si>
    <t>Переходник карбюратора Partner 350/351</t>
  </si>
  <si>
    <t>P-304</t>
  </si>
  <si>
    <t>Поршень (в сборе) Partner 350</t>
  </si>
  <si>
    <t>P-9539</t>
  </si>
  <si>
    <t>Праймер (бульба, в сборе) Partner 350/351</t>
  </si>
  <si>
    <t>P-470</t>
  </si>
  <si>
    <t>Привод  маслонасоса Partner 350 EMAS Taiwan</t>
  </si>
  <si>
    <t>P-590</t>
  </si>
  <si>
    <t>Пружина вариатора   Partner 350   EMAS Taiwan</t>
  </si>
  <si>
    <t>P-9534</t>
  </si>
  <si>
    <t>Пружина стартера Partner 350/351</t>
  </si>
  <si>
    <t>P-9769</t>
  </si>
  <si>
    <t>Пружина стартера Partner 350/351 (блистер)</t>
  </si>
  <si>
    <t>P-9550</t>
  </si>
  <si>
    <t>Пружины демпферные 3 шт/набор Partner 350/351</t>
  </si>
  <si>
    <t>R-121</t>
  </si>
  <si>
    <t>Ремкомплект карбюратора Partner 350/351</t>
  </si>
  <si>
    <t>R-157</t>
  </si>
  <si>
    <t>Рукоятка (в сборе) Partner 350/351</t>
  </si>
  <si>
    <t>S-204</t>
  </si>
  <si>
    <t>Сцепление (в сборе)  Partner 350   EMAS Taiwan</t>
  </si>
  <si>
    <t>T-221</t>
  </si>
  <si>
    <t>Тормоз ручной (в сборе)   Partner 350/351</t>
  </si>
  <si>
    <t>U-1</t>
  </si>
  <si>
    <t>Упор зубчатый   Partner 350   EMAS Taiwan</t>
  </si>
  <si>
    <t>F-36</t>
  </si>
  <si>
    <t>Фильтр бензиновй Partner 350/Husqvarna 137/142</t>
  </si>
  <si>
    <t>C-1082</t>
  </si>
  <si>
    <t>Цилиндр (в сборе)  Partner 350   AKME</t>
  </si>
  <si>
    <t>C-1072</t>
  </si>
  <si>
    <t>Цилиндр (в сборе)  Partner 350   HCH</t>
  </si>
  <si>
    <t>C-107</t>
  </si>
  <si>
    <t>Цилиндр (в сборе)  Partner 350/351 тёмный ULTRA качество CHROME Nikasil</t>
  </si>
  <si>
    <t>F-1014</t>
  </si>
  <si>
    <t>Элемент воздушного фильтра Partner 350/351  (коричневый)   D/L</t>
  </si>
  <si>
    <t>B-49</t>
  </si>
  <si>
    <t>Бензошланг ДАНИЛА 38</t>
  </si>
  <si>
    <t>B-50</t>
  </si>
  <si>
    <t>Бензошланг ДАНИЛА 43</t>
  </si>
  <si>
    <t>V-56</t>
  </si>
  <si>
    <t>Винт маслонасоса ДАНИЛА 43</t>
  </si>
  <si>
    <t>K-5372</t>
  </si>
  <si>
    <t>Касета пружины стартера ДАНИЛА 38</t>
  </si>
  <si>
    <t>K-5370</t>
  </si>
  <si>
    <t>Касета пружины стартера ДАНИЛА 43</t>
  </si>
  <si>
    <t>K-167</t>
  </si>
  <si>
    <t>Коленвал бензопила Дружба</t>
  </si>
  <si>
    <t>K-170</t>
  </si>
  <si>
    <t>Коленвал ДАНИЛА 43</t>
  </si>
  <si>
    <t>K-5371</t>
  </si>
  <si>
    <t>Кольца ДАНИЛА 38</t>
  </si>
  <si>
    <t>T-5</t>
  </si>
  <si>
    <t>Корзина сцепления разборная ДАНИЛА 43   (без звезды)</t>
  </si>
  <si>
    <t>K-5369</t>
  </si>
  <si>
    <t>Корзина сцепления цельная Данила 38</t>
  </si>
  <si>
    <t>K-5373</t>
  </si>
  <si>
    <t>Крышка бака ДАНИЛА 43</t>
  </si>
  <si>
    <t>P-9699</t>
  </si>
  <si>
    <t>Крышка маслобака ДАНИЛА 43</t>
  </si>
  <si>
    <t>K-5366</t>
  </si>
  <si>
    <t>Курок газа Урал/Дружба</t>
  </si>
  <si>
    <t>M-17</t>
  </si>
  <si>
    <t>Магнето ДАНИЛА 43</t>
  </si>
  <si>
    <t>M-1082</t>
  </si>
  <si>
    <t>Маслошланг ДАНИЛА 38</t>
  </si>
  <si>
    <t>P-9700</t>
  </si>
  <si>
    <t>Патрубок карбюратора ДАНИЛА 43</t>
  </si>
  <si>
    <t>P-9696</t>
  </si>
  <si>
    <t>Поддон Данила 38</t>
  </si>
  <si>
    <t>P-361</t>
  </si>
  <si>
    <t>Поршень б/п Дружба   ( Харьков )</t>
  </si>
  <si>
    <t>P-482</t>
  </si>
  <si>
    <t>Привод шестерёнка маслонасоса ДАНИЛА 38</t>
  </si>
  <si>
    <t>P-483</t>
  </si>
  <si>
    <t>Привод шестерёнка маслонасоса ДАНИЛА 43</t>
  </si>
  <si>
    <t>P-9698</t>
  </si>
  <si>
    <t>Прокладка глушителя (паранит) Данила 43</t>
  </si>
  <si>
    <t>P-9588</t>
  </si>
  <si>
    <t>Прокладка фильтра воздушного Данила 38</t>
  </si>
  <si>
    <t>P-9701</t>
  </si>
  <si>
    <t>Прокладки цилиндра Данила 43</t>
  </si>
  <si>
    <t>P-608</t>
  </si>
  <si>
    <t>Пружина стартера ДАНИЛА 38</t>
  </si>
  <si>
    <t>R-126</t>
  </si>
  <si>
    <t>Ремкомплект карбюратора б/п Дружба</t>
  </si>
  <si>
    <t>S-5341</t>
  </si>
  <si>
    <t>Сепаратор корзины сцепления  ДАНИЛА 38</t>
  </si>
  <si>
    <t>S-91</t>
  </si>
  <si>
    <t>Сепаратор корзины сцепления  ДАНИЛА 43</t>
  </si>
  <si>
    <t>S-5239</t>
  </si>
  <si>
    <t>Сцепление (в сборе) Данила 43</t>
  </si>
  <si>
    <t>F-54</t>
  </si>
  <si>
    <t>Фильтр воздушный ДАНИЛА 38</t>
  </si>
  <si>
    <t>F-55</t>
  </si>
  <si>
    <t>Фильтр воздушный ДАНИЛА 43</t>
  </si>
  <si>
    <t>F-1054</t>
  </si>
  <si>
    <t>Флянец крепления (в сборе) бензопилы Урал/Дружба</t>
  </si>
  <si>
    <t>J-82</t>
  </si>
  <si>
    <t>Шкив стартера ДАНИЛА 43</t>
  </si>
  <si>
    <t>M-20</t>
  </si>
  <si>
    <t>Маслёнка шины</t>
  </si>
  <si>
    <t>N-88</t>
  </si>
  <si>
    <t>Напильник для заточки цепи AKME 5,2mm</t>
  </si>
  <si>
    <t>N-89</t>
  </si>
  <si>
    <t>Напильник для заточки цепи AKME 5,5mm</t>
  </si>
  <si>
    <t>N-8</t>
  </si>
  <si>
    <t>Напильник для заточки цепи в сборе AKME 4,0mm</t>
  </si>
  <si>
    <t>N-9</t>
  </si>
  <si>
    <t>Напильник для заточки цепи в сборе AKME 4,8mm</t>
  </si>
  <si>
    <t>N-10</t>
  </si>
  <si>
    <t>Напильник для заточки цепи в сборе AKME 5,2mm</t>
  </si>
  <si>
    <t>N-11</t>
  </si>
  <si>
    <t>Напильник для заточки цепи в сборе AKME 5,5mm</t>
  </si>
  <si>
    <t>N-15</t>
  </si>
  <si>
    <t>Напильник для цепи бензопильной  Ø4.0mm   BHZGONG</t>
  </si>
  <si>
    <t>N-16</t>
  </si>
  <si>
    <t>Напильник для цепи бензопильной  Ø5,2mm   PORTUGAL</t>
  </si>
  <si>
    <t>N-18</t>
  </si>
  <si>
    <t>Напильник для цепи бензопильной  Ø5,5mm   BHZGONG</t>
  </si>
  <si>
    <t>N-19</t>
  </si>
  <si>
    <t>Напильник для цепи бензопильной  Ø5,5mm   PORTUGAL</t>
  </si>
  <si>
    <t>N-20</t>
  </si>
  <si>
    <t>Напильник для цепи бензопильной  Ø5,5mm   STIHL</t>
  </si>
  <si>
    <t>O-38</t>
  </si>
  <si>
    <t>Отвёртка регулировки карбюратора PARTNER-350</t>
  </si>
  <si>
    <t>P-79</t>
  </si>
  <si>
    <t>Планка напильника 4,0</t>
  </si>
  <si>
    <t>P-80</t>
  </si>
  <si>
    <t>Планка напильника 4,8</t>
  </si>
  <si>
    <t>P-81</t>
  </si>
  <si>
    <t>Планка напильника 5,2</t>
  </si>
  <si>
    <t>P-82</t>
  </si>
  <si>
    <t>Планка напильника 5,5</t>
  </si>
  <si>
    <t>Z-191</t>
  </si>
  <si>
    <t>Ремкомплект цепи 3/8", 1.3</t>
  </si>
  <si>
    <t>Z-188</t>
  </si>
  <si>
    <t>Ремкомплект цепи 325</t>
  </si>
  <si>
    <t>S-61</t>
  </si>
  <si>
    <t>Свеча  AKME Premium RED</t>
  </si>
  <si>
    <t>S-5350</t>
  </si>
  <si>
    <t>Свеча  AKME Premium WHITE</t>
  </si>
  <si>
    <t>S-5288</t>
  </si>
  <si>
    <t>Свеча  AKME Premium YELLOW</t>
  </si>
  <si>
    <t>S-5326</t>
  </si>
  <si>
    <t>Свеча  AKME Professional RED</t>
  </si>
  <si>
    <t>S-5287</t>
  </si>
  <si>
    <t>Свеча  AKME Professional RED 3-х контактная</t>
  </si>
  <si>
    <t>S-55</t>
  </si>
  <si>
    <t>Свеча  AKME Professional WHITE</t>
  </si>
  <si>
    <t>S-5286</t>
  </si>
  <si>
    <t>Свеча  AKME Professional WHITE 3-х контактная</t>
  </si>
  <si>
    <t>S-5289</t>
  </si>
  <si>
    <t>Свеча  AKME Professional YELLOW 3-х контактная</t>
  </si>
  <si>
    <t>S-5263</t>
  </si>
  <si>
    <t>Станок для заточки цепи  12V/85W</t>
  </si>
  <si>
    <t>S-5264</t>
  </si>
  <si>
    <t>Станок для заточки цепи  220V/85W</t>
  </si>
  <si>
    <t>S-5257</t>
  </si>
  <si>
    <t>Стоппер поршня</t>
  </si>
  <si>
    <t>F-1107</t>
  </si>
  <si>
    <t>Фильтр топливный mob-1</t>
  </si>
  <si>
    <t>F-1101</t>
  </si>
  <si>
    <t>Фильтр топливный бензопильный (белый, металло-керамика) mod.6</t>
  </si>
  <si>
    <t>C-142</t>
  </si>
  <si>
    <t>Цепь 325  1,5  72зв  PS  GoodLuck</t>
  </si>
  <si>
    <t>C-141</t>
  </si>
  <si>
    <t>Цепь 325  1,5  76зв  PS  GoodLuck</t>
  </si>
  <si>
    <t>C-147</t>
  </si>
  <si>
    <t>Цепь HUSQWARNA 15", 325, 1.3, 64зв  PS</t>
  </si>
  <si>
    <t>C-144</t>
  </si>
  <si>
    <t>Цепь PS3, 14", 3/8", 1.3, 50зв</t>
  </si>
  <si>
    <t>C-145</t>
  </si>
  <si>
    <t>Цепь PS3, 16", 3/8", 1.3, 55зв</t>
  </si>
  <si>
    <t>C-146</t>
  </si>
  <si>
    <t>Цепь бухта 3/8  1,3  (1640 зв)</t>
  </si>
  <si>
    <t>C-143</t>
  </si>
  <si>
    <t>Цепь бухта 325  1,5  (1840 зв)</t>
  </si>
  <si>
    <t>C-27</t>
  </si>
  <si>
    <t>Цепь пильная ДАНИЛА 38</t>
  </si>
  <si>
    <t>C-28</t>
  </si>
  <si>
    <t>Цепь пильная ДАНИЛА 43</t>
  </si>
  <si>
    <t>J-36</t>
  </si>
  <si>
    <t>Шина 18”, 1,3mm, 3/8   60 зв   OREGON</t>
  </si>
  <si>
    <t>J-361</t>
  </si>
  <si>
    <t>Шина 18”, 1,3mm, 3/8   61 зв   Stihl</t>
  </si>
  <si>
    <t>J-3162</t>
  </si>
  <si>
    <t>Шина Goodluck "AKME" 18”, 1,5mm, 325  72 зв</t>
  </si>
  <si>
    <t>H-1016</t>
  </si>
  <si>
    <t>Шина HUSQWARNA " AKME " 15" 325-1,3(058)</t>
  </si>
  <si>
    <t>H-1009</t>
  </si>
  <si>
    <t>Шина HUSQWARNA " AKME " 15" 325-1,5(058)</t>
  </si>
  <si>
    <t>H-1010</t>
  </si>
  <si>
    <t>Шина HUSQWARNA " AKME " 16" 325-1,5(058)</t>
  </si>
  <si>
    <t>H-1011</t>
  </si>
  <si>
    <t>Шина HUSQWARNA " AKME " 18" 3/8-1,5(058)</t>
  </si>
  <si>
    <t>H-1012</t>
  </si>
  <si>
    <t>Шина PARTNER " AKME " 14"3/8 (1,3)</t>
  </si>
  <si>
    <t>H-1014</t>
  </si>
  <si>
    <t>Шина STIHL " AKME " 14"(35) 3/8</t>
  </si>
  <si>
    <t>H-1015</t>
  </si>
  <si>
    <t>Шина STIHL " AKME " 16"(35) 3/8</t>
  </si>
  <si>
    <t>J-67</t>
  </si>
  <si>
    <t>Шина STIHL 16" 3/8 50зв</t>
  </si>
  <si>
    <t>J-71</t>
  </si>
  <si>
    <t>Шина Данила-43</t>
  </si>
  <si>
    <t>K-5434</t>
  </si>
  <si>
    <t>Камера 120/90-10</t>
  </si>
  <si>
    <t>K-5320</t>
  </si>
  <si>
    <t>Камера 130/60-13</t>
  </si>
  <si>
    <t>K-1</t>
  </si>
  <si>
    <t>Камера 2.50-16</t>
  </si>
  <si>
    <t>K-5403</t>
  </si>
  <si>
    <t>Камера 2.75-18</t>
  </si>
  <si>
    <t>K-5</t>
  </si>
  <si>
    <t>Камера 3.00-10</t>
  </si>
  <si>
    <t>K-3</t>
  </si>
  <si>
    <t>Камера 3.00-18</t>
  </si>
  <si>
    <t>K-6</t>
  </si>
  <si>
    <t>Камера 3.00-8</t>
  </si>
  <si>
    <t>K-7</t>
  </si>
  <si>
    <t>Камера 3.25-16</t>
  </si>
  <si>
    <t>K-8</t>
  </si>
  <si>
    <t>Камера 3.50-18</t>
  </si>
  <si>
    <t>K-5361</t>
  </si>
  <si>
    <t>Камера 3.50-8</t>
  </si>
  <si>
    <t>K-4</t>
  </si>
  <si>
    <t>Камера 3.75-19</t>
  </si>
  <si>
    <t>K-11</t>
  </si>
  <si>
    <t>Камера 4.00-19</t>
  </si>
  <si>
    <t>M-52</t>
  </si>
  <si>
    <t>Монтировка мотоциклетных шин 10" L=250mm</t>
  </si>
  <si>
    <t>J-3228</t>
  </si>
  <si>
    <t>Шина 120/70-12 TL 6PR J-09  (безкамерка)   ARP  NEW</t>
  </si>
  <si>
    <t>J-3195</t>
  </si>
  <si>
    <t>Шина 130/60-13 TL  6PR J-09  (безкамерка)   ARP  NEW</t>
  </si>
  <si>
    <t>J-3227</t>
  </si>
  <si>
    <t>Шина 130/60-13 TL  6PR J-47  (безкамерка, ромб)   ARP  NEW</t>
  </si>
  <si>
    <t>J-3239</t>
  </si>
  <si>
    <t>Шина 130/60-13 TL530P   TMMP</t>
  </si>
  <si>
    <t>J-3237</t>
  </si>
  <si>
    <t>Шина 130/70-12 TL 8PRTL   ARP  NEW</t>
  </si>
  <si>
    <t>J-3192</t>
  </si>
  <si>
    <t>Шина 130/90-10 TL 6PR J-52  (безкамерка)   ARP  NEW</t>
  </si>
  <si>
    <t>J-39</t>
  </si>
  <si>
    <t>Шина 2.50-14 с камерой</t>
  </si>
  <si>
    <t>J-3174</t>
  </si>
  <si>
    <t>Шина 2.50-17 TT 6PR J-10  (без камеры)   APR</t>
  </si>
  <si>
    <t>J-46</t>
  </si>
  <si>
    <t>Шина 2.75-17 TT 4PR J-06KE (без камеры)   ARP</t>
  </si>
  <si>
    <t>J-44</t>
  </si>
  <si>
    <t>Шина 2.75-18  8PR (шоссейная) + камера   ARP NEW</t>
  </si>
  <si>
    <t>J-3180</t>
  </si>
  <si>
    <t>Шина 3.00-10 TL 6PR безкамерка   ARP (лапки)</t>
  </si>
  <si>
    <t>J-3206</t>
  </si>
  <si>
    <t>Шина 3.50-10 TL 6PR J-39  (безкамерка)   ARP  NEW</t>
  </si>
  <si>
    <t>J-3181</t>
  </si>
  <si>
    <t>Шина 3.50-10 TL 8PR безкамерка   ARP</t>
  </si>
  <si>
    <t>J-3208</t>
  </si>
  <si>
    <t>Шина 3.50-18 TT 6PR J-094  (без камеры)   ARP  NEW</t>
  </si>
  <si>
    <t>J-56</t>
  </si>
  <si>
    <t>Шина 3.50-18 Иж без камеры</t>
  </si>
  <si>
    <t>J-58</t>
  </si>
  <si>
    <t>Шина 3.75-19 Днепр Мт БЕЗ КАМЕРЫ</t>
  </si>
  <si>
    <t>J-59</t>
  </si>
  <si>
    <t>Шина 3.75-19 Днепр Мт с камерой</t>
  </si>
  <si>
    <t>J-3179</t>
  </si>
  <si>
    <t>Шина 4.00-19 Урал без камеры</t>
  </si>
  <si>
    <t>J-3220</t>
  </si>
  <si>
    <t>Шина 5.00-10 TT 6PR  (без  камеры)   ARP  NEW</t>
  </si>
  <si>
    <t>J-65</t>
  </si>
  <si>
    <t>Шина 90/90-18</t>
  </si>
  <si>
    <t>K-439</t>
  </si>
  <si>
    <t>Кофра Delta железная красная c шлемом</t>
  </si>
  <si>
    <t>K-444</t>
  </si>
  <si>
    <t>Кофра Мерседес с шлемом красная</t>
  </si>
  <si>
    <t>K-446</t>
  </si>
  <si>
    <t>Кофра Мерседес с шлемом чёрная</t>
  </si>
  <si>
    <t>K-5185</t>
  </si>
  <si>
    <t>Кофра пластиковая большая (38,5*34*26см)+ шлем интеграл</t>
  </si>
  <si>
    <t>K-5429</t>
  </si>
  <si>
    <t>Кофра пластиковая большая (38,5*34*26см)+ шлем интеграл с визором и воротником   NEW</t>
  </si>
  <si>
    <t>K-5232</t>
  </si>
  <si>
    <t>Кофра пластиковая большая (44*38*26см)+ шлем интеграл</t>
  </si>
  <si>
    <t>K-5231</t>
  </si>
  <si>
    <t>Кофра пластиковая большая (56*40*28см) + 2 шлема интеграл</t>
  </si>
  <si>
    <t>K-447</t>
  </si>
  <si>
    <t>Кофра пластиковая большая с шлемом внутри (красная)</t>
  </si>
  <si>
    <t>K-5317</t>
  </si>
  <si>
    <t>Кофра пластиковая чёрная "неломайка"  (+шлем интеграл)</t>
  </si>
  <si>
    <t>P-169</t>
  </si>
  <si>
    <t>Подшлемник/балаклава</t>
  </si>
  <si>
    <t>S-184</t>
  </si>
  <si>
    <t>Стекло шлема без бороды</t>
  </si>
  <si>
    <t>H-1086</t>
  </si>
  <si>
    <t>Шлем детский кроссовый (красный, глянец)</t>
  </si>
  <si>
    <t>H-1093</t>
  </si>
  <si>
    <t>Шлем детский кроссовый (красный, матовый)</t>
  </si>
  <si>
    <t>H-1087</t>
  </si>
  <si>
    <t>Шлем детский кроссовый (синий, глянец)</t>
  </si>
  <si>
    <t>H-1094</t>
  </si>
  <si>
    <t>Шлем детский кроссовый (синий, матовый)</t>
  </si>
  <si>
    <t>H-1041</t>
  </si>
  <si>
    <t>Шлем детский кроссовый (чёрный, глянец)</t>
  </si>
  <si>
    <t>J-92</t>
  </si>
  <si>
    <t>Шлем интеграл красный</t>
  </si>
  <si>
    <t>J-93</t>
  </si>
  <si>
    <t>Шлем интеграл синий</t>
  </si>
  <si>
    <t>H-1040</t>
  </si>
  <si>
    <t>Шлем открытый  детский  (красный)</t>
  </si>
  <si>
    <t>H-1090</t>
  </si>
  <si>
    <t>Шлем открытый  детский  (серый)</t>
  </si>
  <si>
    <t>H-1089</t>
  </si>
  <si>
    <t>Шлем открытый  детский  (синий)</t>
  </si>
  <si>
    <t>H-1091</t>
  </si>
  <si>
    <t>Шлем открытый  детский  (чёрный)</t>
  </si>
  <si>
    <t>J-95</t>
  </si>
  <si>
    <t>Шлем открытый красный</t>
  </si>
  <si>
    <t>J-96</t>
  </si>
  <si>
    <t>Шлем открытый синий</t>
  </si>
  <si>
    <t>J-97</t>
  </si>
  <si>
    <t>Шлем открытый чёрный</t>
  </si>
  <si>
    <t>L-585</t>
  </si>
  <si>
    <t>Руководство по ремонту   бензопил  Good Luck (72стр)</t>
  </si>
  <si>
    <t>L-507</t>
  </si>
  <si>
    <t>Руководство по ремонту  Honda TACT, DIO</t>
  </si>
  <si>
    <t>L-505</t>
  </si>
  <si>
    <t>Руководство по ремонту  Suzuki SEPIA</t>
  </si>
  <si>
    <t>L-504</t>
  </si>
  <si>
    <t>Руководство по ремонту  Yamaha JOG</t>
  </si>
  <si>
    <t>R-154</t>
  </si>
  <si>
    <t>Руководство по ремонту  скутеров 2T, 4T  (192стр)</t>
  </si>
  <si>
    <t>L-522</t>
  </si>
  <si>
    <t>Руководство по ремонту  скутеров 4T  (48стр)</t>
  </si>
  <si>
    <t>L-539</t>
  </si>
  <si>
    <t>Руководство по эксплуатации  Карпаты, Рига, Верховина  (_стр)</t>
  </si>
  <si>
    <t>I-534</t>
  </si>
  <si>
    <t>Схема электрооборудования  Восход-2, 3</t>
  </si>
  <si>
    <t>I-564</t>
  </si>
  <si>
    <t>Наклейка  "JAWA"  (15шт, коричневый)</t>
  </si>
  <si>
    <t>I-565</t>
  </si>
  <si>
    <t>Наклейка  "JAWA"  (15шт, серый)</t>
  </si>
  <si>
    <t>I-566</t>
  </si>
  <si>
    <t>Наклейка  "JAWA"  (15шт, синий)</t>
  </si>
  <si>
    <t>I-567</t>
  </si>
  <si>
    <t>Наклейка  "JAWA"  (15шт, чёрный)</t>
  </si>
  <si>
    <t>I-569</t>
  </si>
  <si>
    <t>Наклейка  "JAWA"  (4шт, коричневый)</t>
  </si>
  <si>
    <t>I-570</t>
  </si>
  <si>
    <t>Наклейка  "JAWA"  (5шт, коричневый)</t>
  </si>
  <si>
    <t>I-571</t>
  </si>
  <si>
    <t>Наклейка  "JAWA"  (5шт, серый)</t>
  </si>
  <si>
    <t>I-572</t>
  </si>
  <si>
    <t>Наклейка  "JAWA"  (5шт, синий)</t>
  </si>
  <si>
    <t>I-573</t>
  </si>
  <si>
    <t>Наклейка  "JAWA"  (5шт, чёрный)</t>
  </si>
  <si>
    <t>I-574</t>
  </si>
  <si>
    <t>Наклейка  "JAWA"  (8шт, чёрный)</t>
  </si>
  <si>
    <t>I-575</t>
  </si>
  <si>
    <t>Наклейка  "JAWA"  (9шт, чёрный)</t>
  </si>
  <si>
    <t>I-580</t>
  </si>
  <si>
    <t>Наклейка  "Leader"  (5шт, коричневый)</t>
  </si>
  <si>
    <t>I-581</t>
  </si>
  <si>
    <t>Наклейка  "Leader"  (5шт, красный)</t>
  </si>
  <si>
    <t>I-582</t>
  </si>
  <si>
    <t>Наклейка  "Leader"  (5шт, серый)</t>
  </si>
  <si>
    <t>I-583</t>
  </si>
  <si>
    <t>Наклейка  "Leader"  (5шт, чёрный)</t>
  </si>
  <si>
    <t>I-590</t>
  </si>
  <si>
    <t>Наклейка  "MUSTANG"  (15шт, серый)</t>
  </si>
  <si>
    <t>I-591</t>
  </si>
  <si>
    <t>Наклейка  "MUSTANG"  (15шт, тёмно-серый)</t>
  </si>
  <si>
    <t>I-592</t>
  </si>
  <si>
    <t>Наклейка  "MUSTANG"  (15шт, чёрный)</t>
  </si>
  <si>
    <t>I-595</t>
  </si>
  <si>
    <t>Наклейка  "MUSTANG"  (5шт, серый)</t>
  </si>
  <si>
    <t>I-596</t>
  </si>
  <si>
    <t>Наклейка  "MUSTANG"  (5шт, чёрный)</t>
  </si>
  <si>
    <t>I-606</t>
  </si>
  <si>
    <t>Наклейка  "YAMAHA"  (7шт, синяя)</t>
  </si>
  <si>
    <t>I-631</t>
  </si>
  <si>
    <t>Наклейка  "Днепр"  (5шт, зелёный)</t>
  </si>
  <si>
    <t>I-632</t>
  </si>
  <si>
    <t>Наклейка  "Днепр"  (5шт, коричневый)</t>
  </si>
  <si>
    <t>I-633</t>
  </si>
  <si>
    <t>Наклейка  "Днепр"  (5шт, серый)</t>
  </si>
  <si>
    <t>I-634</t>
  </si>
  <si>
    <t>Наклейка  "Днепр"  (5шт, чёрный)</t>
  </si>
  <si>
    <t>I-635</t>
  </si>
  <si>
    <t>Наклейка  "Днепр"  (9шт, зелёный)</t>
  </si>
  <si>
    <t>I-636</t>
  </si>
  <si>
    <t>Наклейка  "Днепр"  (9шт, коричневый)</t>
  </si>
  <si>
    <t>I-637</t>
  </si>
  <si>
    <t>Наклейка  "Днепр"  (9шт, серый)</t>
  </si>
  <si>
    <t>I-638</t>
  </si>
  <si>
    <t>Наклейка  "Днепр"  (9шт, чёрный)</t>
  </si>
  <si>
    <t>I-659</t>
  </si>
  <si>
    <t>Наклейка  "ЮПИТЕР"  (13шт, зелёный)</t>
  </si>
  <si>
    <t>I-660</t>
  </si>
  <si>
    <t>Наклейка  "ЮПИТЕР"  (13шт, серый)</t>
  </si>
  <si>
    <t>I-661</t>
  </si>
  <si>
    <t>Наклейка  "ЮПИТЕР"  (13шт, синий)</t>
  </si>
  <si>
    <t>I-662</t>
  </si>
  <si>
    <t>Наклейка  "ЮПИТЕР"  (13шт, чёрный)</t>
  </si>
  <si>
    <t>I-663</t>
  </si>
  <si>
    <t>Наклейка  "ЮПИТЕР"  (5шт, зелёный)</t>
  </si>
  <si>
    <t>I-664</t>
  </si>
  <si>
    <t>Наклейка  "ЮПИТЕР"  (5шт, серый)</t>
  </si>
  <si>
    <t>I-665</t>
  </si>
  <si>
    <t>Наклейка  "ЮПИТЕР"  (5шт, синий)</t>
  </si>
  <si>
    <t>I-666</t>
  </si>
  <si>
    <t>Наклейка  "ЮПИТЕР"  (5шт, чёрный)</t>
  </si>
  <si>
    <t>O-44</t>
  </si>
  <si>
    <t>Очки кроссовые ( SUPER PUPER )</t>
  </si>
  <si>
    <t>P-78</t>
  </si>
  <si>
    <t>Перчатки кроссовые</t>
  </si>
  <si>
    <t>LOT-103</t>
  </si>
  <si>
    <t>Барабан сцепления  Минск (голый, уценка, ржавчина)</t>
  </si>
  <si>
    <t>LOT-16</t>
  </si>
  <si>
    <t>Демпферная муфта (голая)  MINSK-SONIK  LOT-16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</si>
</sst>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$-409]#,##0.00"/>
    <numFmt numFmtId="165" formatCode="\$0.00"/>
  </numFmts>
  <fonts count="31" x14ac:knownFonts="1">
    <font>
      <sz val="8"/>
      <name val="Arial"/>
      <family val="2"/>
    </font>
    <font>
      <b/>
      <sz val="10"/>
      <color indexed="8"/>
      <name val="Times New Roman"/>
      <family val="2"/>
    </font>
    <font>
      <b/>
      <i/>
      <sz val="11"/>
      <color indexed="8"/>
      <name val="Times New Roman"/>
      <family val="1"/>
      <charset val="204"/>
    </font>
    <font>
      <b/>
      <i/>
      <sz val="12"/>
      <name val="Bernard MT Condensed"/>
      <family val="1"/>
    </font>
    <font>
      <b/>
      <sz val="20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8"/>
      <color indexed="8"/>
      <name val="Times New Roman"/>
      <family val="1"/>
      <charset val="204"/>
    </font>
    <font>
      <sz val="9"/>
      <name val="Arial"/>
      <family val="2"/>
      <charset val="204"/>
    </font>
    <font>
      <b/>
      <i/>
      <sz val="20"/>
      <color indexed="40"/>
      <name val="Calibri"/>
      <family val="2"/>
      <charset val="204"/>
    </font>
    <font>
      <b/>
      <sz val="20"/>
      <color indexed="40"/>
      <name val="Calibri"/>
      <family val="2"/>
      <charset val="204"/>
    </font>
    <font>
      <b/>
      <sz val="16"/>
      <color indexed="63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i/>
      <sz val="22"/>
      <color indexed="40"/>
      <name val="Calibri"/>
      <family val="2"/>
      <charset val="204"/>
    </font>
    <font>
      <b/>
      <sz val="20"/>
      <color indexed="8"/>
      <name val="Arial"/>
      <family val="2"/>
      <charset val="204"/>
    </font>
    <font>
      <u/>
      <sz val="8"/>
      <color theme="10"/>
      <name val="Arial"/>
      <family val="2"/>
    </font>
    <font>
      <b/>
      <i/>
      <sz val="11"/>
      <color rgb="FF3515F7"/>
      <name val="Bernard MT Condensed"/>
      <family val="1"/>
    </font>
    <font>
      <b/>
      <i/>
      <sz val="8"/>
      <color theme="1"/>
      <name val="Times New Roman"/>
      <family val="1"/>
      <charset val="204"/>
    </font>
    <font>
      <b/>
      <sz val="8"/>
      <color rgb="FFFF0000"/>
      <name val="Arial"/>
      <family val="2"/>
    </font>
    <font>
      <b/>
      <i/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8"/>
      <color rgb="FF00B0F0"/>
      <name val="Calibri"/>
      <family val="2"/>
      <charset val="204"/>
      <scheme val="minor"/>
    </font>
    <font>
      <b/>
      <sz val="16"/>
      <color rgb="FF0099FF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8"/>
      <name val="Arial"/>
    </font>
    <font>
      <u/>
      <sz val="8"/>
      <color theme="10"/>
      <name val="Arial"/>
      <family val="2"/>
      <charset val="204"/>
    </font>
    <font>
      <b/>
      <i/>
      <sz val="1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8" fillId="0" borderId="0"/>
    <xf numFmtId="0" fontId="29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 vertical="center"/>
    </xf>
    <xf numFmtId="164" fontId="6" fillId="0" borderId="1" xfId="0" applyNumberFormat="1" applyFont="1" applyFill="1" applyBorder="1" applyAlignment="1">
      <alignment horizontal="center" vertical="justify" wrapText="1"/>
    </xf>
    <xf numFmtId="0" fontId="18" fillId="0" borderId="1" xfId="1" applyNumberFormat="1" applyFont="1" applyFill="1" applyBorder="1" applyAlignment="1">
      <alignment horizontal="center" vertical="justify" wrapText="1"/>
    </xf>
    <xf numFmtId="0" fontId="0" fillId="0" borderId="0" xfId="0" applyAlignment="1">
      <alignment horizontal="left" vertical="justify"/>
    </xf>
    <xf numFmtId="49" fontId="19" fillId="2" borderId="2" xfId="0" applyNumberFormat="1" applyFont="1" applyFill="1" applyBorder="1" applyAlignment="1" applyProtection="1">
      <alignment horizontal="left" vertical="top" wrapText="1"/>
    </xf>
    <xf numFmtId="49" fontId="7" fillId="3" borderId="3" xfId="0" applyNumberFormat="1" applyFont="1" applyFill="1" applyBorder="1" applyAlignment="1">
      <alignment horizontal="center" vertical="justify" wrapText="1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164" fontId="2" fillId="2" borderId="5" xfId="0" applyNumberFormat="1" applyFont="1" applyFill="1" applyBorder="1" applyAlignment="1" applyProtection="1">
      <alignment horizontal="center" vertical="center" wrapText="1"/>
    </xf>
    <xf numFmtId="1" fontId="2" fillId="2" borderId="5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165" fontId="1" fillId="3" borderId="1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 vertical="justify" wrapText="1"/>
    </xf>
    <xf numFmtId="49" fontId="6" fillId="0" borderId="1" xfId="0" applyNumberFormat="1" applyFont="1" applyFill="1" applyBorder="1" applyAlignment="1">
      <alignment horizontal="left" vertical="justify" wrapText="1" indent="1"/>
    </xf>
    <xf numFmtId="1" fontId="6" fillId="0" borderId="1" xfId="0" applyNumberFormat="1" applyFont="1" applyFill="1" applyBorder="1" applyAlignment="1">
      <alignment horizontal="center" vertical="justify" wrapText="1"/>
    </xf>
    <xf numFmtId="0" fontId="20" fillId="0" borderId="1" xfId="0" applyFont="1" applyFill="1" applyBorder="1" applyAlignment="1">
      <alignment horizontal="left" vertical="justify"/>
    </xf>
    <xf numFmtId="49" fontId="7" fillId="0" borderId="3" xfId="0" applyNumberFormat="1" applyFont="1" applyFill="1" applyBorder="1" applyAlignment="1">
      <alignment horizontal="center" vertical="justify" wrapText="1"/>
    </xf>
    <xf numFmtId="0" fontId="0" fillId="0" borderId="0" xfId="0" applyFill="1" applyAlignment="1">
      <alignment horizontal="left"/>
    </xf>
    <xf numFmtId="0" fontId="0" fillId="0" borderId="7" xfId="0" applyFill="1" applyBorder="1" applyAlignment="1">
      <alignment horizontal="left" vertical="center"/>
    </xf>
    <xf numFmtId="0" fontId="8" fillId="0" borderId="0" xfId="0" applyFont="1"/>
    <xf numFmtId="0" fontId="8" fillId="0" borderId="0" xfId="0" applyFont="1" applyFill="1" applyAlignment="1">
      <alignment horizontal="center" vertical="center"/>
    </xf>
    <xf numFmtId="49" fontId="21" fillId="2" borderId="8" xfId="0" applyNumberFormat="1" applyFont="1" applyFill="1" applyBorder="1" applyAlignment="1" applyProtection="1">
      <alignment horizontal="center" vertical="center" wrapText="1"/>
    </xf>
    <xf numFmtId="14" fontId="22" fillId="2" borderId="2" xfId="0" applyNumberFormat="1" applyFont="1" applyFill="1" applyBorder="1" applyAlignment="1" applyProtection="1">
      <alignment vertical="center" wrapText="1"/>
    </xf>
    <xf numFmtId="0" fontId="23" fillId="2" borderId="2" xfId="0" applyNumberFormat="1" applyFont="1" applyFill="1" applyBorder="1" applyAlignment="1" applyProtection="1">
      <alignment horizontal="center" vertical="center" wrapText="1"/>
    </xf>
    <xf numFmtId="14" fontId="24" fillId="2" borderId="2" xfId="0" applyNumberFormat="1" applyFont="1" applyFill="1" applyBorder="1" applyAlignment="1" applyProtection="1">
      <alignment horizontal="center" vertical="center" wrapText="1"/>
    </xf>
    <xf numFmtId="49" fontId="25" fillId="2" borderId="5" xfId="1" applyNumberFormat="1" applyFont="1" applyFill="1" applyBorder="1" applyAlignment="1" applyProtection="1">
      <alignment horizontal="center" vertical="top" wrapText="1"/>
    </xf>
    <xf numFmtId="0" fontId="23" fillId="2" borderId="9" xfId="0" applyNumberFormat="1" applyFont="1" applyFill="1" applyBorder="1" applyAlignment="1" applyProtection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 indent="1"/>
    </xf>
    <xf numFmtId="0" fontId="26" fillId="2" borderId="11" xfId="0" applyFont="1" applyFill="1" applyBorder="1" applyAlignment="1">
      <alignment horizontal="left" vertical="center" wrapText="1" indent="1"/>
    </xf>
    <xf numFmtId="0" fontId="26" fillId="2" borderId="12" xfId="0" applyFont="1" applyFill="1" applyBorder="1" applyAlignment="1">
      <alignment horizontal="left" vertical="center" wrapText="1" indent="1"/>
    </xf>
    <xf numFmtId="0" fontId="26" fillId="2" borderId="13" xfId="0" applyFont="1" applyFill="1" applyBorder="1" applyAlignment="1">
      <alignment horizontal="left" vertical="center" wrapText="1" indent="1"/>
    </xf>
    <xf numFmtId="0" fontId="0" fillId="0" borderId="0" xfId="0" applyBorder="1"/>
    <xf numFmtId="0" fontId="0" fillId="4" borderId="0" xfId="0" applyFill="1" applyBorder="1"/>
    <xf numFmtId="49" fontId="12" fillId="5" borderId="0" xfId="0" applyNumberFormat="1" applyFont="1" applyFill="1" applyBorder="1" applyAlignment="1">
      <alignment horizontal="left" vertical="top" wrapText="1" indent="1"/>
    </xf>
    <xf numFmtId="49" fontId="14" fillId="5" borderId="0" xfId="0" applyNumberFormat="1" applyFont="1" applyFill="1" applyBorder="1" applyAlignment="1">
      <alignment horizontal="left" vertical="top" wrapText="1" indent="1"/>
    </xf>
    <xf numFmtId="49" fontId="13" fillId="6" borderId="0" xfId="0" applyNumberFormat="1" applyFont="1" applyFill="1" applyBorder="1" applyAlignment="1">
      <alignment horizontal="left" vertical="top" wrapText="1" indent="1"/>
    </xf>
    <xf numFmtId="49" fontId="12" fillId="6" borderId="0" xfId="0" applyNumberFormat="1" applyFont="1" applyFill="1" applyBorder="1" applyAlignment="1">
      <alignment horizontal="left" vertical="center" wrapText="1"/>
    </xf>
    <xf numFmtId="49" fontId="27" fillId="7" borderId="9" xfId="0" applyNumberFormat="1" applyFont="1" applyFill="1" applyBorder="1" applyAlignment="1" applyProtection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justify" wrapText="1"/>
    </xf>
    <xf numFmtId="49" fontId="27" fillId="2" borderId="8" xfId="0" applyNumberFormat="1" applyFont="1" applyFill="1" applyBorder="1" applyAlignment="1" applyProtection="1">
      <alignment horizontal="center" vertical="center" wrapText="1"/>
    </xf>
    <xf numFmtId="49" fontId="27" fillId="2" borderId="10" xfId="0" applyNumberFormat="1" applyFont="1" applyFill="1" applyBorder="1" applyAlignment="1" applyProtection="1">
      <alignment horizontal="center" vertical="center" wrapText="1"/>
    </xf>
    <xf numFmtId="0" fontId="23" fillId="2" borderId="14" xfId="0" applyNumberFormat="1" applyFont="1" applyFill="1" applyBorder="1" applyAlignment="1" applyProtection="1">
      <alignment horizontal="left" vertical="center" wrapText="1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0" fontId="23" fillId="2" borderId="16" xfId="0" applyNumberFormat="1" applyFont="1" applyFill="1" applyBorder="1" applyAlignment="1" applyProtection="1">
      <alignment horizontal="left" vertical="center" wrapText="1"/>
    </xf>
    <xf numFmtId="49" fontId="6" fillId="3" borderId="1" xfId="0" applyNumberFormat="1" applyFont="1" applyFill="1" applyBorder="1" applyAlignment="1">
      <alignment horizontal="left" vertical="justify" wrapText="1"/>
    </xf>
    <xf numFmtId="164" fontId="6" fillId="3" borderId="1" xfId="0" applyNumberFormat="1" applyFont="1" applyFill="1" applyBorder="1" applyAlignment="1">
      <alignment horizontal="center" vertical="justify" wrapText="1"/>
    </xf>
    <xf numFmtId="1" fontId="6" fillId="3" borderId="1" xfId="0" applyNumberFormat="1" applyFont="1" applyFill="1" applyBorder="1" applyAlignment="1">
      <alignment horizontal="center" vertical="justify" wrapText="1"/>
    </xf>
    <xf numFmtId="0" fontId="18" fillId="3" borderId="1" xfId="1" applyNumberFormat="1" applyFont="1" applyFill="1" applyBorder="1" applyAlignment="1">
      <alignment horizontal="center" vertical="justify" wrapText="1"/>
    </xf>
    <xf numFmtId="0" fontId="20" fillId="3" borderId="1" xfId="0" applyFont="1" applyFill="1" applyBorder="1" applyAlignment="1">
      <alignment horizontal="left" vertical="justify"/>
    </xf>
    <xf numFmtId="49" fontId="30" fillId="3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FFF6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FBFB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1933575</xdr:colOff>
      <xdr:row>0</xdr:row>
      <xdr:rowOff>19050</xdr:rowOff>
    </xdr:from>
    <xdr:to>
      <xdr:col>2</xdr:col>
      <xdr:colOff>4495800</xdr:colOff>
      <xdr:row>0</xdr:row>
      <xdr:rowOff>866775</xdr:rowOff>
    </xdr:to>
    <xdr:pic>
      <xdr:nvPicPr>
        <xdr:cNvPr id="1034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62325" y="19050"/>
          <a:ext cx="2562225" cy="847725"/>
        </a:xfrm>
        <a:prstGeom prst="rect">
          <a:avLst/>
        </a:prstGeom>
        <a:noFill/>
        <a:ln>
          <a:noFill/>
        </a:ln>
        <a:effectLst>
          <a:outerShdw blurRad="254000" dist="50800" dir="4080000" sx="104000" sy="104000" algn="tl" rotWithShape="0">
            <a:prstClr val="black">
              <a:alpha val="28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76200</xdr:rowOff>
    </xdr:from>
    <xdr:to>
      <xdr:col>0</xdr:col>
      <xdr:colOff>7486650</xdr:colOff>
      <xdr:row>3</xdr:row>
      <xdr:rowOff>1800225</xdr:rowOff>
    </xdr:to>
    <xdr:pic>
      <xdr:nvPicPr>
        <xdr:cNvPr id="279949" name="Рисунок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71625"/>
          <a:ext cx="7296150" cy="172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5</xdr:row>
      <xdr:rowOff>123825</xdr:rowOff>
    </xdr:from>
    <xdr:to>
      <xdr:col>0</xdr:col>
      <xdr:colOff>7381875</xdr:colOff>
      <xdr:row>5</xdr:row>
      <xdr:rowOff>1771650</xdr:rowOff>
    </xdr:to>
    <xdr:pic>
      <xdr:nvPicPr>
        <xdr:cNvPr id="279950" name="Рисунок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200525"/>
          <a:ext cx="722947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7</xdr:row>
      <xdr:rowOff>38100</xdr:rowOff>
    </xdr:from>
    <xdr:to>
      <xdr:col>0</xdr:col>
      <xdr:colOff>7448550</xdr:colOff>
      <xdr:row>7</xdr:row>
      <xdr:rowOff>2752725</xdr:rowOff>
    </xdr:to>
    <xdr:pic>
      <xdr:nvPicPr>
        <xdr:cNvPr id="279951" name="Рисунок 7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343650"/>
          <a:ext cx="733425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9525</xdr:colOff>
      <xdr:row>11</xdr:row>
      <xdr:rowOff>381000</xdr:rowOff>
    </xdr:to>
    <xdr:pic>
      <xdr:nvPicPr>
        <xdr:cNvPr id="27995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0325"/>
          <a:ext cx="95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1628775</xdr:colOff>
      <xdr:row>11</xdr:row>
      <xdr:rowOff>47625</xdr:rowOff>
    </xdr:from>
    <xdr:to>
      <xdr:col>0</xdr:col>
      <xdr:colOff>5943600</xdr:colOff>
      <xdr:row>11</xdr:row>
      <xdr:rowOff>3000375</xdr:rowOff>
    </xdr:to>
    <xdr:pic>
      <xdr:nvPicPr>
        <xdr:cNvPr id="279953" name="Рисунок 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10744200"/>
          <a:ext cx="4314825" cy="295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15</xdr:row>
      <xdr:rowOff>295275</xdr:rowOff>
    </xdr:from>
    <xdr:to>
      <xdr:col>0</xdr:col>
      <xdr:colOff>7334250</xdr:colOff>
      <xdr:row>15</xdr:row>
      <xdr:rowOff>1171575</xdr:rowOff>
    </xdr:to>
    <xdr:pic>
      <xdr:nvPicPr>
        <xdr:cNvPr id="279954" name="Рисунок 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94" b="7079"/>
        <a:stretch>
          <a:fillRect/>
        </a:stretch>
      </xdr:blipFill>
      <xdr:spPr bwMode="auto">
        <a:xfrm>
          <a:off x="95250" y="15906750"/>
          <a:ext cx="72390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180975</xdr:colOff>
      <xdr:row>13</xdr:row>
      <xdr:rowOff>85725</xdr:rowOff>
    </xdr:from>
    <xdr:to>
      <xdr:col>0</xdr:col>
      <xdr:colOff>7543800</xdr:colOff>
      <xdr:row>14</xdr:row>
      <xdr:rowOff>9525</xdr:rowOff>
    </xdr:to>
    <xdr:pic>
      <xdr:nvPicPr>
        <xdr:cNvPr id="279955" name="Рисунок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458950"/>
          <a:ext cx="7362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mmp-catalog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pctmmp.site/" TargetMode="External"/><Relationship Id="rId2" Type="http://schemas.openxmlformats.org/officeDocument/2006/relationships/hyperlink" Target="http://tmmp-catalog.com.ua/" TargetMode="External"/><Relationship Id="rId1" Type="http://schemas.openxmlformats.org/officeDocument/2006/relationships/hyperlink" Target="mailto:uatmmp@gmail.com" TargetMode="External"/><Relationship Id="rId5" Type="http://schemas.openxmlformats.org/officeDocument/2006/relationships/hyperlink" Target="https://t.me/uatmmp" TargetMode="External"/><Relationship Id="rId4" Type="http://schemas.openxmlformats.org/officeDocument/2006/relationships/hyperlink" Target="https://t.me/uatmmp_bo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00B0F0"/>
    <outlinePr summaryBelow="0" summaryRight="0"/>
    <pageSetUpPr autoPageBreaks="0"/>
  </sheetPr>
  <dimension ref="A1:H3051"/>
  <sheetViews>
    <sheetView tabSelected="1" topLeftCell="B1" zoomScaleNormal="100" workbookViewId="0">
      <pane ySplit="2" topLeftCell="A3" activePane="bottomLeft" state="frozen"/>
      <selection activeCell="B1" sqref="B1"/>
      <selection pane="bottomLeft" activeCell="C3" sqref="C3"/>
    </sheetView>
  </sheetViews>
  <sheetFormatPr defaultColWidth="0" defaultRowHeight="11.25" zeroHeight="1" x14ac:dyDescent="0.2"/>
  <cols>
    <col min="1" max="1" width="14.33203125" style="24" hidden="1" customWidth="1"/>
    <col min="2" max="2" width="10.6640625" style="4" customWidth="1"/>
    <col min="3" max="3" width="111.83203125" style="4" customWidth="1"/>
    <col min="4" max="4" width="9.6640625" style="4" customWidth="1"/>
    <col min="5" max="5" width="14.33203125" style="4" bestFit="1" customWidth="1"/>
    <col min="6" max="6" width="15.1640625" style="4" bestFit="1" customWidth="1"/>
    <col min="7" max="7" width="21.5" style="4" customWidth="1"/>
    <col min="8" max="8" width="38.6640625" style="4" customWidth="1"/>
    <col min="9" max="16384" width="7.5" hidden="1"/>
  </cols>
  <sheetData>
    <row r="1" spans="1:8" ht="72" customHeight="1" thickBot="1" x14ac:dyDescent="0.25">
      <c r="B1" s="28" t="s">
        <v>62</v>
      </c>
      <c r="C1" s="5"/>
      <c r="D1" s="29"/>
      <c r="E1" s="31"/>
      <c r="F1" s="30" t="s">
        <v>36</v>
      </c>
      <c r="G1" s="30" t="s">
        <v>37</v>
      </c>
      <c r="H1" s="30" t="s">
        <v>59</v>
      </c>
    </row>
    <row r="2" spans="1:8" s="1" customFormat="1" ht="26.25" thickBot="1" x14ac:dyDescent="0.25">
      <c r="A2" s="25"/>
      <c r="B2" s="7" t="s">
        <v>24</v>
      </c>
      <c r="C2" s="32" t="s">
        <v>38</v>
      </c>
      <c r="D2" s="8" t="s">
        <v>20</v>
      </c>
      <c r="E2" s="9" t="s">
        <v>21</v>
      </c>
      <c r="F2" s="17" t="s">
        <v>22</v>
      </c>
      <c r="G2" s="10">
        <f>SUM(F4:F2949)</f>
        <v>0</v>
      </c>
      <c r="H2" s="11" t="s">
        <v>23</v>
      </c>
    </row>
    <row r="3" spans="1:8" ht="23.25" x14ac:dyDescent="0.2">
      <c r="A3" s="12"/>
      <c r="B3" s="12"/>
      <c r="C3" s="6" t="s">
        <v>0</v>
      </c>
      <c r="D3" s="13"/>
      <c r="E3" s="14"/>
      <c r="F3" s="15"/>
      <c r="G3" s="16"/>
      <c r="H3" s="12"/>
    </row>
    <row r="4" spans="1:8" ht="15" x14ac:dyDescent="0.2">
      <c r="A4" s="18"/>
      <c r="B4" s="19" t="s">
        <v>60</v>
      </c>
      <c r="C4" s="20" t="s">
        <v>61</v>
      </c>
      <c r="D4" s="2">
        <v>16</v>
      </c>
      <c r="E4" s="21"/>
      <c r="F4" s="2">
        <f>cena*zakaz</f>
        <v>0</v>
      </c>
      <c r="G4" s="3" t="str">
        <f>HYPERLINK("http://tmmp-catalog.com.ua/katalog/37/18879/","фото")</f>
        <v>фото</v>
      </c>
      <c r="H4" s="22"/>
    </row>
    <row r="5" spans="1:8" ht="15" x14ac:dyDescent="0.2">
      <c r="A5" s="18"/>
      <c r="B5" s="19" t="s">
        <v>63</v>
      </c>
      <c r="C5" s="20" t="s">
        <v>64</v>
      </c>
      <c r="D5" s="2">
        <v>30</v>
      </c>
      <c r="E5" s="21"/>
      <c r="F5" s="2">
        <f t="shared" ref="F5:F35" si="0">cena*zakaz</f>
        <v>0</v>
      </c>
      <c r="G5" s="3" t="str">
        <f>HYPERLINK("http://tmmp-catalog.com.ua/katalog/37/18878/","фото")</f>
        <v>фото</v>
      </c>
      <c r="H5" s="22"/>
    </row>
    <row r="6" spans="1:8" ht="15" x14ac:dyDescent="0.2">
      <c r="A6" s="18">
        <v>2000000020389</v>
      </c>
      <c r="B6" s="19" t="s">
        <v>65</v>
      </c>
      <c r="C6" s="20" t="s">
        <v>66</v>
      </c>
      <c r="D6" s="2">
        <v>12.3</v>
      </c>
      <c r="E6" s="21"/>
      <c r="F6" s="2">
        <f t="shared" si="0"/>
        <v>0</v>
      </c>
      <c r="G6" s="3" t="str">
        <f>HYPERLINK("http://tmmp-catalog.com.ua/katalog/26/14418/","фото")</f>
        <v>фото</v>
      </c>
      <c r="H6" s="22"/>
    </row>
    <row r="7" spans="1:8" ht="15" x14ac:dyDescent="0.2">
      <c r="A7" s="18">
        <v>2000000021898</v>
      </c>
      <c r="B7" s="19" t="s">
        <v>67</v>
      </c>
      <c r="C7" s="20" t="s">
        <v>68</v>
      </c>
      <c r="D7" s="2">
        <v>10</v>
      </c>
      <c r="E7" s="21"/>
      <c r="F7" s="2">
        <f t="shared" si="0"/>
        <v>0</v>
      </c>
      <c r="G7" s="3" t="str">
        <f>HYPERLINK("http://tmmp-catalog.com.ua/katalog/26/16859/","фото")</f>
        <v>фото</v>
      </c>
      <c r="H7" s="22"/>
    </row>
    <row r="8" spans="1:8" ht="15" x14ac:dyDescent="0.2">
      <c r="A8" s="18">
        <v>2000000022451</v>
      </c>
      <c r="B8" s="19" t="s">
        <v>69</v>
      </c>
      <c r="C8" s="20" t="s">
        <v>70</v>
      </c>
      <c r="D8" s="2">
        <v>10.5</v>
      </c>
      <c r="E8" s="21"/>
      <c r="F8" s="2">
        <f t="shared" si="0"/>
        <v>0</v>
      </c>
      <c r="G8" s="3" t="str">
        <f>HYPERLINK("http://tmmp-catalog.com.ua/katalog/28/15092/","фото")</f>
        <v>фото</v>
      </c>
      <c r="H8" s="22"/>
    </row>
    <row r="9" spans="1:8" ht="15" x14ac:dyDescent="0.2">
      <c r="A9" s="18">
        <v>2000000029474</v>
      </c>
      <c r="B9" s="19" t="s">
        <v>71</v>
      </c>
      <c r="C9" s="20" t="s">
        <v>72</v>
      </c>
      <c r="D9" s="2">
        <v>11</v>
      </c>
      <c r="E9" s="21"/>
      <c r="F9" s="2">
        <f t="shared" si="0"/>
        <v>0</v>
      </c>
      <c r="G9" s="3" t="str">
        <f>HYPERLINK("http://tmmp-catalog.com.ua/katalog/8/13145/","фото")</f>
        <v>фото</v>
      </c>
      <c r="H9" s="22"/>
    </row>
    <row r="10" spans="1:8" ht="15" x14ac:dyDescent="0.2">
      <c r="A10" s="18">
        <v>2000000003443</v>
      </c>
      <c r="B10" s="19" t="s">
        <v>73</v>
      </c>
      <c r="C10" s="20" t="s">
        <v>74</v>
      </c>
      <c r="D10" s="2">
        <v>15</v>
      </c>
      <c r="E10" s="21"/>
      <c r="F10" s="2">
        <f t="shared" si="0"/>
        <v>0</v>
      </c>
      <c r="G10" s="3" t="str">
        <f>HYPERLINK("http://tmmp-catalog.com.ua/katalog/13/15525/","фото")</f>
        <v>фото</v>
      </c>
      <c r="H10" s="22"/>
    </row>
    <row r="11" spans="1:8" ht="15" x14ac:dyDescent="0.2">
      <c r="A11" s="18">
        <v>2000000003450</v>
      </c>
      <c r="B11" s="19" t="s">
        <v>75</v>
      </c>
      <c r="C11" s="20" t="s">
        <v>76</v>
      </c>
      <c r="D11" s="2">
        <v>17.3</v>
      </c>
      <c r="E11" s="21"/>
      <c r="F11" s="2">
        <f t="shared" si="0"/>
        <v>0</v>
      </c>
      <c r="G11" s="3" t="str">
        <f>HYPERLINK("http://tmmp-catalog.com.ua/katalog/13/15526/","фото")</f>
        <v>фото</v>
      </c>
      <c r="H11" s="22"/>
    </row>
    <row r="12" spans="1:8" ht="15" x14ac:dyDescent="0.2">
      <c r="A12" s="18">
        <v>2000000000015</v>
      </c>
      <c r="B12" s="19" t="s">
        <v>77</v>
      </c>
      <c r="C12" s="20" t="s">
        <v>78</v>
      </c>
      <c r="D12" s="2">
        <v>16</v>
      </c>
      <c r="E12" s="21"/>
      <c r="F12" s="2">
        <f t="shared" si="0"/>
        <v>0</v>
      </c>
      <c r="G12" s="3" t="str">
        <f>HYPERLINK("http://tmmp-catalog.com.ua/katalog/1/14620/","фото")</f>
        <v>фото</v>
      </c>
      <c r="H12" s="22"/>
    </row>
    <row r="13" spans="1:8" ht="15" x14ac:dyDescent="0.2">
      <c r="A13" s="18">
        <v>2000000000039</v>
      </c>
      <c r="B13" s="19" t="s">
        <v>79</v>
      </c>
      <c r="C13" s="20" t="s">
        <v>80</v>
      </c>
      <c r="D13" s="2">
        <v>19</v>
      </c>
      <c r="E13" s="21"/>
      <c r="F13" s="2">
        <f t="shared" si="0"/>
        <v>0</v>
      </c>
      <c r="G13" s="3" t="str">
        <f>HYPERLINK("http://tmmp-catalog.com.ua/katalog/1/14622/","фото")</f>
        <v>фото</v>
      </c>
      <c r="H13" s="22"/>
    </row>
    <row r="14" spans="1:8" ht="15" x14ac:dyDescent="0.2">
      <c r="A14" s="18">
        <v>2000000003467</v>
      </c>
      <c r="B14" s="19" t="s">
        <v>81</v>
      </c>
      <c r="C14" s="20" t="s">
        <v>82</v>
      </c>
      <c r="D14" s="2">
        <v>20</v>
      </c>
      <c r="E14" s="21"/>
      <c r="F14" s="2">
        <f t="shared" si="0"/>
        <v>0</v>
      </c>
      <c r="G14" s="3" t="str">
        <f>HYPERLINK("http://tmmp-catalog.com.ua/katalog/13/15527/","фото")</f>
        <v>фото</v>
      </c>
      <c r="H14" s="22"/>
    </row>
    <row r="15" spans="1:8" ht="15" x14ac:dyDescent="0.2">
      <c r="A15" s="18"/>
      <c r="B15" s="19" t="s">
        <v>83</v>
      </c>
      <c r="C15" s="20" t="s">
        <v>84</v>
      </c>
      <c r="D15" s="2">
        <v>11.5</v>
      </c>
      <c r="E15" s="21"/>
      <c r="F15" s="2">
        <f t="shared" si="0"/>
        <v>0</v>
      </c>
      <c r="G15" s="3" t="str">
        <f>HYPERLINK("http://tmmp-catalog.com.ua/katalog/37/17546/","фото")</f>
        <v>фото</v>
      </c>
      <c r="H15" s="22"/>
    </row>
    <row r="16" spans="1:8" ht="15" x14ac:dyDescent="0.2">
      <c r="A16" s="18"/>
      <c r="B16" s="19" t="s">
        <v>85</v>
      </c>
      <c r="C16" s="20" t="s">
        <v>86</v>
      </c>
      <c r="D16" s="2">
        <v>2.5</v>
      </c>
      <c r="E16" s="21"/>
      <c r="F16" s="2">
        <f t="shared" si="0"/>
        <v>0</v>
      </c>
      <c r="G16" s="3" t="str">
        <f>HYPERLINK("http://tmmp-catalog.com.ua/katalog/37/18605/","фото")</f>
        <v>фото</v>
      </c>
      <c r="H16" s="22"/>
    </row>
    <row r="17" spans="1:8" ht="15" x14ac:dyDescent="0.2">
      <c r="A17" s="18"/>
      <c r="B17" s="19" t="s">
        <v>87</v>
      </c>
      <c r="C17" s="20" t="s">
        <v>88</v>
      </c>
      <c r="D17" s="2">
        <v>11.5</v>
      </c>
      <c r="E17" s="21"/>
      <c r="F17" s="2">
        <f t="shared" si="0"/>
        <v>0</v>
      </c>
      <c r="G17" s="3" t="str">
        <f>HYPERLINK("http://tmmp-catalog.com.ua/katalog/37/17545/","фото")</f>
        <v>фото</v>
      </c>
      <c r="H17" s="22"/>
    </row>
    <row r="18" spans="1:8" ht="15" x14ac:dyDescent="0.2">
      <c r="A18" s="18"/>
      <c r="B18" s="19" t="s">
        <v>89</v>
      </c>
      <c r="C18" s="20" t="s">
        <v>90</v>
      </c>
      <c r="D18" s="2">
        <v>2.8</v>
      </c>
      <c r="E18" s="21"/>
      <c r="F18" s="2">
        <f t="shared" si="0"/>
        <v>0</v>
      </c>
      <c r="G18" s="3" t="str">
        <f>HYPERLINK("http://tmmp-catalog.com.ua/katalog/37/18606/","фото")</f>
        <v>фото</v>
      </c>
      <c r="H18" s="22"/>
    </row>
    <row r="19" spans="1:8" ht="15" x14ac:dyDescent="0.2">
      <c r="A19" s="18">
        <v>2000000030180</v>
      </c>
      <c r="B19" s="19" t="s">
        <v>91</v>
      </c>
      <c r="C19" s="20" t="s">
        <v>92</v>
      </c>
      <c r="D19" s="2">
        <v>3.2</v>
      </c>
      <c r="E19" s="21"/>
      <c r="F19" s="2">
        <f t="shared" si="0"/>
        <v>0</v>
      </c>
      <c r="G19" s="3" t="str">
        <f>HYPERLINK("http://tmmp-catalog.com.ua/katalog/8/13219/","фото")</f>
        <v>фото</v>
      </c>
      <c r="H19" s="22"/>
    </row>
    <row r="20" spans="1:8" ht="15" x14ac:dyDescent="0.2">
      <c r="A20" s="18"/>
      <c r="B20" s="19" t="s">
        <v>93</v>
      </c>
      <c r="C20" s="20" t="s">
        <v>94</v>
      </c>
      <c r="D20" s="2">
        <v>2.2000000000000002</v>
      </c>
      <c r="E20" s="21"/>
      <c r="F20" s="2">
        <f t="shared" si="0"/>
        <v>0</v>
      </c>
      <c r="G20" s="3" t="str">
        <f>HYPERLINK("http://tmmp-catalog.com.ua/katalog/37/18312/","фото")</f>
        <v>фото</v>
      </c>
      <c r="H20" s="22"/>
    </row>
    <row r="21" spans="1:8" ht="15" x14ac:dyDescent="0.2">
      <c r="A21" s="18">
        <v>2000000004464</v>
      </c>
      <c r="B21" s="19" t="s">
        <v>95</v>
      </c>
      <c r="C21" s="20" t="s">
        <v>96</v>
      </c>
      <c r="D21" s="2">
        <v>5.5</v>
      </c>
      <c r="E21" s="21"/>
      <c r="F21" s="2">
        <f t="shared" si="0"/>
        <v>0</v>
      </c>
      <c r="G21" s="3" t="str">
        <f>HYPERLINK("http://tmmp-catalog.com.ua/katalog/13/15627/","фото")</f>
        <v>фото</v>
      </c>
      <c r="H21" s="22"/>
    </row>
    <row r="22" spans="1:8" ht="15" x14ac:dyDescent="0.2">
      <c r="A22" s="18">
        <v>2000000004495</v>
      </c>
      <c r="B22" s="19" t="s">
        <v>97</v>
      </c>
      <c r="C22" s="20" t="s">
        <v>98</v>
      </c>
      <c r="D22" s="2">
        <v>3.5</v>
      </c>
      <c r="E22" s="21"/>
      <c r="F22" s="2">
        <f t="shared" si="0"/>
        <v>0</v>
      </c>
      <c r="G22" s="3" t="str">
        <f>HYPERLINK("http://tmmp-catalog.com.ua/katalog/13/15630/","фото")</f>
        <v>фото</v>
      </c>
      <c r="H22" s="22"/>
    </row>
    <row r="23" spans="1:8" ht="15" x14ac:dyDescent="0.2">
      <c r="A23" s="18"/>
      <c r="B23" s="19" t="s">
        <v>99</v>
      </c>
      <c r="C23" s="20" t="s">
        <v>100</v>
      </c>
      <c r="D23" s="2">
        <v>4.5</v>
      </c>
      <c r="E23" s="21"/>
      <c r="F23" s="2">
        <f t="shared" si="0"/>
        <v>0</v>
      </c>
      <c r="G23" s="3" t="str">
        <f>HYPERLINK("http://tmmp-catalog.com.ua/katalog/37/17740/","фото")</f>
        <v>фото</v>
      </c>
      <c r="H23" s="22"/>
    </row>
    <row r="24" spans="1:8" ht="15" x14ac:dyDescent="0.2">
      <c r="A24" s="18"/>
      <c r="B24" s="19" t="s">
        <v>101</v>
      </c>
      <c r="C24" s="20" t="s">
        <v>102</v>
      </c>
      <c r="D24" s="2">
        <v>4</v>
      </c>
      <c r="E24" s="21"/>
      <c r="F24" s="2">
        <f t="shared" si="0"/>
        <v>0</v>
      </c>
      <c r="G24" s="3" t="str">
        <f>HYPERLINK("http://tmmp-catalog.com.ua/katalog/37/18817/","фото")</f>
        <v>фото</v>
      </c>
      <c r="H24" s="22"/>
    </row>
    <row r="25" spans="1:8" ht="15" x14ac:dyDescent="0.2">
      <c r="A25" s="18"/>
      <c r="B25" s="19" t="s">
        <v>103</v>
      </c>
      <c r="C25" s="20" t="s">
        <v>104</v>
      </c>
      <c r="D25" s="2">
        <v>4</v>
      </c>
      <c r="E25" s="21"/>
      <c r="F25" s="2">
        <f t="shared" si="0"/>
        <v>0</v>
      </c>
      <c r="G25" s="3" t="str">
        <f>HYPERLINK("http://tmmp-catalog.com.ua/katalog/37/18594/","фото")</f>
        <v>фото</v>
      </c>
      <c r="H25" s="22"/>
    </row>
    <row r="26" spans="1:8" ht="15" x14ac:dyDescent="0.2">
      <c r="A26" s="18"/>
      <c r="B26" s="19" t="s">
        <v>105</v>
      </c>
      <c r="C26" s="20" t="s">
        <v>106</v>
      </c>
      <c r="D26" s="2">
        <v>4</v>
      </c>
      <c r="E26" s="21"/>
      <c r="F26" s="2">
        <f t="shared" si="0"/>
        <v>0</v>
      </c>
      <c r="G26" s="3" t="str">
        <f>HYPERLINK("http://tmmp-catalog.com.ua/katalog/37/18593/","фото")</f>
        <v>фото</v>
      </c>
      <c r="H26" s="22"/>
    </row>
    <row r="27" spans="1:8" ht="15" x14ac:dyDescent="0.2">
      <c r="A27" s="18"/>
      <c r="B27" s="19" t="s">
        <v>107</v>
      </c>
      <c r="C27" s="20" t="s">
        <v>108</v>
      </c>
      <c r="D27" s="2">
        <v>4</v>
      </c>
      <c r="E27" s="21"/>
      <c r="F27" s="2">
        <f t="shared" si="0"/>
        <v>0</v>
      </c>
      <c r="G27" s="3" t="str">
        <f>HYPERLINK("http://tmmp-catalog.com.ua/katalog/37/18592/","фото")</f>
        <v>фото</v>
      </c>
      <c r="H27" s="22"/>
    </row>
    <row r="28" spans="1:8" ht="15" x14ac:dyDescent="0.2">
      <c r="A28" s="18"/>
      <c r="B28" s="19" t="s">
        <v>109</v>
      </c>
      <c r="C28" s="20" t="s">
        <v>110</v>
      </c>
      <c r="D28" s="2">
        <v>4</v>
      </c>
      <c r="E28" s="21"/>
      <c r="F28" s="2">
        <f t="shared" si="0"/>
        <v>0</v>
      </c>
      <c r="G28" s="3" t="str">
        <f>HYPERLINK("http://tmmp-catalog.com.ua/katalog/37/18591/","фото")</f>
        <v>фото</v>
      </c>
      <c r="H28" s="22"/>
    </row>
    <row r="29" spans="1:8" ht="15" x14ac:dyDescent="0.2">
      <c r="A29" s="18">
        <v>2000000004518</v>
      </c>
      <c r="B29" s="19" t="s">
        <v>111</v>
      </c>
      <c r="C29" s="20" t="s">
        <v>112</v>
      </c>
      <c r="D29" s="2">
        <v>2.5</v>
      </c>
      <c r="E29" s="21"/>
      <c r="F29" s="2">
        <f t="shared" si="0"/>
        <v>0</v>
      </c>
      <c r="G29" s="3" t="str">
        <f>HYPERLINK("http://tmmp-catalog.com.ua/katalog/13/15632/","фото")</f>
        <v>фото</v>
      </c>
      <c r="H29" s="22"/>
    </row>
    <row r="30" spans="1:8" ht="15" x14ac:dyDescent="0.2">
      <c r="A30" s="18"/>
      <c r="B30" s="19" t="s">
        <v>113</v>
      </c>
      <c r="C30" s="20" t="s">
        <v>114</v>
      </c>
      <c r="D30" s="2">
        <v>0.05</v>
      </c>
      <c r="E30" s="21"/>
      <c r="F30" s="2">
        <f t="shared" si="0"/>
        <v>0</v>
      </c>
      <c r="G30" s="3" t="str">
        <f>HYPERLINK("http://tmmp-catalog.com.ua/katalog/37/17552/","фото")</f>
        <v>фото</v>
      </c>
      <c r="H30" s="22"/>
    </row>
    <row r="31" spans="1:8" ht="15" x14ac:dyDescent="0.2">
      <c r="A31" s="18"/>
      <c r="B31" s="19" t="s">
        <v>115</v>
      </c>
      <c r="C31" s="20" t="s">
        <v>116</v>
      </c>
      <c r="D31" s="2">
        <v>150</v>
      </c>
      <c r="E31" s="21"/>
      <c r="F31" s="2">
        <f t="shared" si="0"/>
        <v>0</v>
      </c>
      <c r="G31" s="3" t="str">
        <f>HYPERLINK("http://tmmp-catalog.com.ua/katalog/37/18872/","фото")</f>
        <v>фото</v>
      </c>
      <c r="H31" s="22"/>
    </row>
    <row r="32" spans="1:8" ht="15" x14ac:dyDescent="0.2">
      <c r="A32" s="18"/>
      <c r="B32" s="19" t="s">
        <v>117</v>
      </c>
      <c r="C32" s="20" t="s">
        <v>118</v>
      </c>
      <c r="D32" s="2">
        <v>2</v>
      </c>
      <c r="E32" s="21"/>
      <c r="F32" s="2">
        <f t="shared" si="0"/>
        <v>0</v>
      </c>
      <c r="G32" s="3" t="str">
        <f>HYPERLINK("http://tmmp-catalog.com.ua/katalog/37/18367/","фото")</f>
        <v>фото</v>
      </c>
      <c r="H32" s="22"/>
    </row>
    <row r="33" spans="1:8" ht="15" x14ac:dyDescent="0.2">
      <c r="A33" s="18">
        <v>2000000009964</v>
      </c>
      <c r="B33" s="19" t="s">
        <v>119</v>
      </c>
      <c r="C33" s="20" t="s">
        <v>120</v>
      </c>
      <c r="D33" s="2">
        <v>2</v>
      </c>
      <c r="E33" s="21"/>
      <c r="F33" s="2">
        <f t="shared" si="0"/>
        <v>0</v>
      </c>
      <c r="G33" s="3" t="str">
        <f>HYPERLINK("http://tmmp-catalog.com.ua/katalog/13/16722/","фото")</f>
        <v>фото</v>
      </c>
      <c r="H33" s="22"/>
    </row>
    <row r="34" spans="1:8" ht="15" x14ac:dyDescent="0.2">
      <c r="A34" s="18"/>
      <c r="B34" s="19" t="s">
        <v>121</v>
      </c>
      <c r="C34" s="20" t="s">
        <v>122</v>
      </c>
      <c r="D34" s="2">
        <v>0.3</v>
      </c>
      <c r="E34" s="21"/>
      <c r="F34" s="2">
        <f t="shared" si="0"/>
        <v>0</v>
      </c>
      <c r="G34" s="3" t="str">
        <f>HYPERLINK("http://tmmp-catalog.com.ua/katalog/37/18587/","фото")</f>
        <v>фото</v>
      </c>
      <c r="H34" s="22"/>
    </row>
    <row r="35" spans="1:8" ht="30" x14ac:dyDescent="0.2">
      <c r="A35" s="18"/>
      <c r="B35" s="19" t="s">
        <v>123</v>
      </c>
      <c r="C35" s="20" t="s">
        <v>124</v>
      </c>
      <c r="D35" s="2">
        <v>48</v>
      </c>
      <c r="E35" s="21"/>
      <c r="F35" s="2">
        <f t="shared" si="0"/>
        <v>0</v>
      </c>
      <c r="G35" s="3" t="str">
        <f>HYPERLINK("http://tmmp-catalog.com.ua/katalog/37/18873/","фото")</f>
        <v>фото</v>
      </c>
      <c r="H35" s="22"/>
    </row>
    <row r="36" spans="1:8" ht="15" x14ac:dyDescent="0.2">
      <c r="A36" s="18"/>
      <c r="B36" s="19" t="s">
        <v>125</v>
      </c>
      <c r="C36" s="20" t="s">
        <v>126</v>
      </c>
      <c r="D36" s="2">
        <v>0.2</v>
      </c>
      <c r="E36" s="21"/>
      <c r="F36" s="2">
        <f t="shared" ref="F36:F67" si="1">cena*zakaz</f>
        <v>0</v>
      </c>
      <c r="G36" s="3" t="str">
        <f>HYPERLINK("http://tmmp-catalog.com.ua/katalog/37/17673/","фото")</f>
        <v>фото</v>
      </c>
      <c r="H36" s="22"/>
    </row>
    <row r="37" spans="1:8" ht="15" x14ac:dyDescent="0.2">
      <c r="A37" s="18"/>
      <c r="B37" s="19" t="s">
        <v>127</v>
      </c>
      <c r="C37" s="20" t="s">
        <v>128</v>
      </c>
      <c r="D37" s="2">
        <v>0.2</v>
      </c>
      <c r="E37" s="21"/>
      <c r="F37" s="2">
        <f t="shared" si="1"/>
        <v>0</v>
      </c>
      <c r="G37" s="3" t="str">
        <f>HYPERLINK("http://tmmp-catalog.com.ua/katalog/37/17692/","фото")</f>
        <v>фото</v>
      </c>
      <c r="H37" s="22"/>
    </row>
    <row r="38" spans="1:8" ht="15" x14ac:dyDescent="0.2">
      <c r="A38" s="18">
        <v>2000000000954</v>
      </c>
      <c r="B38" s="19" t="s">
        <v>129</v>
      </c>
      <c r="C38" s="20" t="s">
        <v>130</v>
      </c>
      <c r="D38" s="2">
        <v>0.5</v>
      </c>
      <c r="E38" s="21"/>
      <c r="F38" s="2">
        <f t="shared" si="1"/>
        <v>0</v>
      </c>
      <c r="G38" s="3" t="str">
        <f>HYPERLINK("http://tmmp-catalog.com.ua/katalog/1/14715/","фото")</f>
        <v>фото</v>
      </c>
      <c r="H38" s="22"/>
    </row>
    <row r="39" spans="1:8" ht="15" x14ac:dyDescent="0.2">
      <c r="A39" s="18">
        <v>2000000000947</v>
      </c>
      <c r="B39" s="19" t="s">
        <v>131</v>
      </c>
      <c r="C39" s="20" t="s">
        <v>132</v>
      </c>
      <c r="D39" s="2">
        <v>0.3</v>
      </c>
      <c r="E39" s="21"/>
      <c r="F39" s="2">
        <f t="shared" si="1"/>
        <v>0</v>
      </c>
      <c r="G39" s="3" t="str">
        <f>HYPERLINK("http://tmmp-catalog.com.ua/katalog/1/14714/","фото")</f>
        <v>фото</v>
      </c>
      <c r="H39" s="22"/>
    </row>
    <row r="40" spans="1:8" ht="15" x14ac:dyDescent="0.2">
      <c r="A40" s="18">
        <v>2000000005751</v>
      </c>
      <c r="B40" s="19" t="s">
        <v>133</v>
      </c>
      <c r="C40" s="20" t="s">
        <v>134</v>
      </c>
      <c r="D40" s="2">
        <v>6</v>
      </c>
      <c r="E40" s="21"/>
      <c r="F40" s="2">
        <f t="shared" si="1"/>
        <v>0</v>
      </c>
      <c r="G40" s="3" t="str">
        <f>HYPERLINK("http://tmmp-catalog.com.ua/katalog/13/15756/","фото")</f>
        <v>фото</v>
      </c>
      <c r="H40" s="22"/>
    </row>
    <row r="41" spans="1:8" ht="15" x14ac:dyDescent="0.2">
      <c r="A41" s="18">
        <v>2000000005768</v>
      </c>
      <c r="B41" s="19" t="s">
        <v>135</v>
      </c>
      <c r="C41" s="20" t="s">
        <v>136</v>
      </c>
      <c r="D41" s="2">
        <v>6</v>
      </c>
      <c r="E41" s="21"/>
      <c r="F41" s="2">
        <f t="shared" si="1"/>
        <v>0</v>
      </c>
      <c r="G41" s="3" t="str">
        <f>HYPERLINK("http://tmmp-catalog.com.ua/katalog/13/15757/","фото")</f>
        <v>фото</v>
      </c>
      <c r="H41" s="22"/>
    </row>
    <row r="42" spans="1:8" ht="15" x14ac:dyDescent="0.2">
      <c r="A42" s="18"/>
      <c r="B42" s="19" t="s">
        <v>137</v>
      </c>
      <c r="C42" s="20" t="s">
        <v>138</v>
      </c>
      <c r="D42" s="2">
        <v>0.25</v>
      </c>
      <c r="E42" s="21"/>
      <c r="F42" s="2">
        <f t="shared" si="1"/>
        <v>0</v>
      </c>
      <c r="G42" s="3" t="str">
        <f>HYPERLINK("http://tmmp-catalog.com.ua/katalog/37/18398/","фото")</f>
        <v>фото</v>
      </c>
      <c r="H42" s="22"/>
    </row>
    <row r="43" spans="1:8" ht="15" x14ac:dyDescent="0.2">
      <c r="A43" s="18">
        <v>2000000006239</v>
      </c>
      <c r="B43" s="19" t="s">
        <v>139</v>
      </c>
      <c r="C43" s="20" t="s">
        <v>140</v>
      </c>
      <c r="D43" s="2">
        <v>4.8</v>
      </c>
      <c r="E43" s="21"/>
      <c r="F43" s="2">
        <f t="shared" si="1"/>
        <v>0</v>
      </c>
      <c r="G43" s="3" t="str">
        <f>HYPERLINK("http://tmmp-catalog.com.ua/katalog/13/15809/","фото")</f>
        <v>фото</v>
      </c>
      <c r="H43" s="22"/>
    </row>
    <row r="44" spans="1:8" ht="15" x14ac:dyDescent="0.2">
      <c r="A44" s="18"/>
      <c r="B44" s="19" t="s">
        <v>141</v>
      </c>
      <c r="C44" s="20" t="s">
        <v>142</v>
      </c>
      <c r="D44" s="2">
        <v>3.2</v>
      </c>
      <c r="E44" s="21"/>
      <c r="F44" s="2">
        <f t="shared" si="1"/>
        <v>0</v>
      </c>
      <c r="G44" s="3" t="str">
        <f>HYPERLINK("http://tmmp-catalog.com.ua/katalog/37/17745/","фото")</f>
        <v>фото</v>
      </c>
      <c r="H44" s="22"/>
    </row>
    <row r="45" spans="1:8" ht="15" x14ac:dyDescent="0.2">
      <c r="A45" s="18">
        <v>2000000006086</v>
      </c>
      <c r="B45" s="19" t="s">
        <v>143</v>
      </c>
      <c r="C45" s="20" t="s">
        <v>144</v>
      </c>
      <c r="D45" s="2">
        <v>3.7</v>
      </c>
      <c r="E45" s="21"/>
      <c r="F45" s="2">
        <f t="shared" si="1"/>
        <v>0</v>
      </c>
      <c r="G45" s="3" t="str">
        <f>HYPERLINK("http://tmmp-catalog.com.ua/katalog/13/15793/","фото")</f>
        <v>фото</v>
      </c>
      <c r="H45" s="22"/>
    </row>
    <row r="46" spans="1:8" ht="15" x14ac:dyDescent="0.2">
      <c r="A46" s="18">
        <v>2000000006246</v>
      </c>
      <c r="B46" s="19" t="s">
        <v>145</v>
      </c>
      <c r="C46" s="20" t="s">
        <v>146</v>
      </c>
      <c r="D46" s="2">
        <v>2.5</v>
      </c>
      <c r="E46" s="21"/>
      <c r="F46" s="2">
        <f t="shared" si="1"/>
        <v>0</v>
      </c>
      <c r="G46" s="3" t="str">
        <f>HYPERLINK("http://tmmp-catalog.com.ua/katalog/13/15810/","фото")</f>
        <v>фото</v>
      </c>
      <c r="H46" s="22"/>
    </row>
    <row r="47" spans="1:8" ht="15" x14ac:dyDescent="0.2">
      <c r="A47" s="18"/>
      <c r="B47" s="19" t="s">
        <v>147</v>
      </c>
      <c r="C47" s="20" t="s">
        <v>148</v>
      </c>
      <c r="D47" s="2">
        <v>6.5</v>
      </c>
      <c r="E47" s="21"/>
      <c r="F47" s="2">
        <f t="shared" si="1"/>
        <v>0</v>
      </c>
      <c r="G47" s="3" t="str">
        <f>HYPERLINK("http://tmmp-catalog.com.ua/katalog/37/18414/","фото")</f>
        <v>фото</v>
      </c>
      <c r="H47" s="22"/>
    </row>
    <row r="48" spans="1:8" ht="15" x14ac:dyDescent="0.2">
      <c r="A48" s="18"/>
      <c r="B48" s="19" t="s">
        <v>149</v>
      </c>
      <c r="C48" s="20" t="s">
        <v>150</v>
      </c>
      <c r="D48" s="2">
        <v>3.7</v>
      </c>
      <c r="E48" s="21"/>
      <c r="F48" s="2">
        <f t="shared" si="1"/>
        <v>0</v>
      </c>
      <c r="G48" s="3" t="str">
        <f>HYPERLINK("http://tmmp-catalog.com.ua/katalog/37/17747/","фото")</f>
        <v>фото</v>
      </c>
      <c r="H48" s="22"/>
    </row>
    <row r="49" spans="1:8" ht="15" x14ac:dyDescent="0.2">
      <c r="A49" s="18"/>
      <c r="B49" s="19" t="s">
        <v>151</v>
      </c>
      <c r="C49" s="20" t="s">
        <v>152</v>
      </c>
      <c r="D49" s="2">
        <v>3</v>
      </c>
      <c r="E49" s="21"/>
      <c r="F49" s="2">
        <f t="shared" si="1"/>
        <v>0</v>
      </c>
      <c r="G49" s="3" t="str">
        <f>HYPERLINK("http://tmmp-catalog.com.ua/katalog/37/18415/","фото")</f>
        <v>фото</v>
      </c>
      <c r="H49" s="22"/>
    </row>
    <row r="50" spans="1:8" ht="15" x14ac:dyDescent="0.2">
      <c r="A50" s="18">
        <v>2000000006147</v>
      </c>
      <c r="B50" s="19" t="s">
        <v>153</v>
      </c>
      <c r="C50" s="20" t="s">
        <v>154</v>
      </c>
      <c r="D50" s="2">
        <v>3.7</v>
      </c>
      <c r="E50" s="21"/>
      <c r="F50" s="2">
        <f t="shared" si="1"/>
        <v>0</v>
      </c>
      <c r="G50" s="3" t="str">
        <f>HYPERLINK("http://tmmp-catalog.com.ua/katalog/13/15800/","фото")</f>
        <v>фото</v>
      </c>
      <c r="H50" s="22"/>
    </row>
    <row r="51" spans="1:8" ht="15" x14ac:dyDescent="0.2">
      <c r="A51" s="18"/>
      <c r="B51" s="19" t="s">
        <v>155</v>
      </c>
      <c r="C51" s="20" t="s">
        <v>156</v>
      </c>
      <c r="D51" s="2">
        <v>3</v>
      </c>
      <c r="E51" s="21"/>
      <c r="F51" s="2">
        <f t="shared" si="1"/>
        <v>0</v>
      </c>
      <c r="G51" s="3" t="str">
        <f>HYPERLINK("http://tmmp-catalog.com.ua/katalog/37/17662/","фото")</f>
        <v>фото</v>
      </c>
      <c r="H51" s="22"/>
    </row>
    <row r="52" spans="1:8" ht="15" x14ac:dyDescent="0.2">
      <c r="A52" s="18"/>
      <c r="B52" s="19" t="s">
        <v>157</v>
      </c>
      <c r="C52" s="20" t="s">
        <v>158</v>
      </c>
      <c r="D52" s="2">
        <v>4.5</v>
      </c>
      <c r="E52" s="21"/>
      <c r="F52" s="2">
        <f t="shared" si="1"/>
        <v>0</v>
      </c>
      <c r="G52" s="3" t="str">
        <f>HYPERLINK("http://tmmp-catalog.com.ua/katalog/37/18416/","фото")</f>
        <v>фото</v>
      </c>
      <c r="H52" s="22"/>
    </row>
    <row r="53" spans="1:8" ht="15" x14ac:dyDescent="0.2">
      <c r="A53" s="18"/>
      <c r="B53" s="19" t="s">
        <v>159</v>
      </c>
      <c r="C53" s="20" t="s">
        <v>160</v>
      </c>
      <c r="D53" s="2">
        <v>5.5</v>
      </c>
      <c r="E53" s="21"/>
      <c r="F53" s="2">
        <f t="shared" si="1"/>
        <v>0</v>
      </c>
      <c r="G53" s="3" t="str">
        <f>HYPERLINK("http://tmmp-catalog.com.ua/katalog/37/18418/","фото")</f>
        <v>фото</v>
      </c>
      <c r="H53" s="22"/>
    </row>
    <row r="54" spans="1:8" ht="15" x14ac:dyDescent="0.2">
      <c r="A54" s="18">
        <v>2000000006222</v>
      </c>
      <c r="B54" s="19" t="s">
        <v>161</v>
      </c>
      <c r="C54" s="20" t="s">
        <v>162</v>
      </c>
      <c r="D54" s="2">
        <v>5.5</v>
      </c>
      <c r="E54" s="21"/>
      <c r="F54" s="2">
        <f t="shared" si="1"/>
        <v>0</v>
      </c>
      <c r="G54" s="3" t="str">
        <f>HYPERLINK("http://tmmp-catalog.com.ua/katalog/13/15808/","фото")</f>
        <v>фото</v>
      </c>
      <c r="H54" s="22"/>
    </row>
    <row r="55" spans="1:8" ht="15" x14ac:dyDescent="0.2">
      <c r="A55" s="18"/>
      <c r="B55" s="19" t="s">
        <v>163</v>
      </c>
      <c r="C55" s="20" t="s">
        <v>164</v>
      </c>
      <c r="D55" s="2">
        <v>5</v>
      </c>
      <c r="E55" s="21"/>
      <c r="F55" s="2">
        <f t="shared" si="1"/>
        <v>0</v>
      </c>
      <c r="G55" s="3" t="str">
        <f>HYPERLINK("http://tmmp-catalog.com.ua/katalog/37/18843/","фото")</f>
        <v>фото</v>
      </c>
      <c r="H55" s="22"/>
    </row>
    <row r="56" spans="1:8" ht="15" x14ac:dyDescent="0.2">
      <c r="A56" s="18"/>
      <c r="B56" s="19" t="s">
        <v>165</v>
      </c>
      <c r="C56" s="20" t="s">
        <v>166</v>
      </c>
      <c r="D56" s="2">
        <v>3.2</v>
      </c>
      <c r="E56" s="21"/>
      <c r="F56" s="2">
        <f t="shared" si="1"/>
        <v>0</v>
      </c>
      <c r="G56" s="3" t="str">
        <f>HYPERLINK("http://tmmp-catalog.com.ua/katalog/37/18844/","фото")</f>
        <v>фото</v>
      </c>
      <c r="H56" s="22"/>
    </row>
    <row r="57" spans="1:8" ht="15" x14ac:dyDescent="0.2">
      <c r="A57" s="18">
        <v>2000000022413</v>
      </c>
      <c r="B57" s="19" t="s">
        <v>167</v>
      </c>
      <c r="C57" s="20" t="s">
        <v>168</v>
      </c>
      <c r="D57" s="2">
        <v>0.35</v>
      </c>
      <c r="E57" s="21"/>
      <c r="F57" s="2">
        <f t="shared" si="1"/>
        <v>0</v>
      </c>
      <c r="G57" s="3" t="str">
        <f>HYPERLINK("http://tmmp-catalog.com.ua/katalog/27/15522/","фото")</f>
        <v>фото</v>
      </c>
      <c r="H57" s="22"/>
    </row>
    <row r="58" spans="1:8" ht="15" x14ac:dyDescent="0.2">
      <c r="A58" s="18">
        <v>2000000007656</v>
      </c>
      <c r="B58" s="19" t="s">
        <v>169</v>
      </c>
      <c r="C58" s="20" t="s">
        <v>170</v>
      </c>
      <c r="D58" s="2">
        <v>1.5</v>
      </c>
      <c r="E58" s="21"/>
      <c r="F58" s="2">
        <f t="shared" si="1"/>
        <v>0</v>
      </c>
      <c r="G58" s="3" t="str">
        <f>HYPERLINK("http://tmmp-catalog.com.ua/katalog/13/15952/","фото")</f>
        <v>фото</v>
      </c>
      <c r="H58" s="22"/>
    </row>
    <row r="59" spans="1:8" ht="15" x14ac:dyDescent="0.2">
      <c r="A59" s="18">
        <v>2000000007663</v>
      </c>
      <c r="B59" s="19" t="s">
        <v>171</v>
      </c>
      <c r="C59" s="20" t="s">
        <v>172</v>
      </c>
      <c r="D59" s="2">
        <v>1.5</v>
      </c>
      <c r="E59" s="21"/>
      <c r="F59" s="2">
        <f t="shared" si="1"/>
        <v>0</v>
      </c>
      <c r="G59" s="3" t="str">
        <f>HYPERLINK("http://tmmp-catalog.com.ua/katalog/13/15953/","фото")</f>
        <v>фото</v>
      </c>
      <c r="H59" s="22"/>
    </row>
    <row r="60" spans="1:8" ht="15" x14ac:dyDescent="0.2">
      <c r="A60" s="18">
        <v>2000000007670</v>
      </c>
      <c r="B60" s="19" t="s">
        <v>173</v>
      </c>
      <c r="C60" s="20" t="s">
        <v>174</v>
      </c>
      <c r="D60" s="2">
        <v>2.9</v>
      </c>
      <c r="E60" s="21"/>
      <c r="F60" s="2">
        <f t="shared" si="1"/>
        <v>0</v>
      </c>
      <c r="G60" s="3" t="str">
        <f>HYPERLINK("http://tmmp-catalog.com.ua/katalog/13/15954/","фото")</f>
        <v>фото</v>
      </c>
      <c r="H60" s="22"/>
    </row>
    <row r="61" spans="1:8" ht="15" x14ac:dyDescent="0.2">
      <c r="A61" s="18">
        <v>2000000007687</v>
      </c>
      <c r="B61" s="19" t="s">
        <v>175</v>
      </c>
      <c r="C61" s="20" t="s">
        <v>176</v>
      </c>
      <c r="D61" s="2">
        <v>2.75</v>
      </c>
      <c r="E61" s="21"/>
      <c r="F61" s="2">
        <f t="shared" si="1"/>
        <v>0</v>
      </c>
      <c r="G61" s="3" t="str">
        <f>HYPERLINK("http://tmmp-catalog.com.ua/katalog/13/15955/","фото")</f>
        <v>фото</v>
      </c>
      <c r="H61" s="22"/>
    </row>
    <row r="62" spans="1:8" ht="15" x14ac:dyDescent="0.2">
      <c r="A62" s="18">
        <v>2000000007694</v>
      </c>
      <c r="B62" s="19" t="s">
        <v>177</v>
      </c>
      <c r="C62" s="20" t="s">
        <v>178</v>
      </c>
      <c r="D62" s="2">
        <v>2</v>
      </c>
      <c r="E62" s="21"/>
      <c r="F62" s="2">
        <f t="shared" si="1"/>
        <v>0</v>
      </c>
      <c r="G62" s="3" t="str">
        <f>HYPERLINK("http://tmmp-catalog.com.ua/katalog/13/15956/","фото")</f>
        <v>фото</v>
      </c>
      <c r="H62" s="22"/>
    </row>
    <row r="63" spans="1:8" ht="15" x14ac:dyDescent="0.2">
      <c r="A63" s="18"/>
      <c r="B63" s="19" t="s">
        <v>179</v>
      </c>
      <c r="C63" s="20" t="s">
        <v>180</v>
      </c>
      <c r="D63" s="2">
        <v>0.35</v>
      </c>
      <c r="E63" s="21"/>
      <c r="F63" s="2">
        <f t="shared" si="1"/>
        <v>0</v>
      </c>
      <c r="G63" s="3" t="str">
        <f>HYPERLINK("http://tmmp-catalog.com.ua/katalog/37/18506/","фото")</f>
        <v>фото</v>
      </c>
      <c r="H63" s="22"/>
    </row>
    <row r="64" spans="1:8" ht="15" x14ac:dyDescent="0.2">
      <c r="A64" s="18">
        <v>2000000007823</v>
      </c>
      <c r="B64" s="19" t="s">
        <v>181</v>
      </c>
      <c r="C64" s="20" t="s">
        <v>182</v>
      </c>
      <c r="D64" s="2">
        <v>0.6</v>
      </c>
      <c r="E64" s="21"/>
      <c r="F64" s="2">
        <f t="shared" si="1"/>
        <v>0</v>
      </c>
      <c r="G64" s="3" t="str">
        <f>HYPERLINK("http://tmmp-catalog.com.ua/katalog/13/15969/","фото")</f>
        <v>фото</v>
      </c>
      <c r="H64" s="22"/>
    </row>
    <row r="65" spans="1:8" ht="15" x14ac:dyDescent="0.2">
      <c r="A65" s="18">
        <v>2000000007847</v>
      </c>
      <c r="B65" s="19" t="s">
        <v>183</v>
      </c>
      <c r="C65" s="20" t="s">
        <v>184</v>
      </c>
      <c r="D65" s="2">
        <v>0.6</v>
      </c>
      <c r="E65" s="21"/>
      <c r="F65" s="2">
        <f t="shared" si="1"/>
        <v>0</v>
      </c>
      <c r="G65" s="3" t="str">
        <f>HYPERLINK("http://tmmp-catalog.com.ua/katalog/13/15971/","фото")</f>
        <v>фото</v>
      </c>
      <c r="H65" s="22"/>
    </row>
    <row r="66" spans="1:8" ht="15" x14ac:dyDescent="0.2">
      <c r="A66" s="18"/>
      <c r="B66" s="19" t="s">
        <v>185</v>
      </c>
      <c r="C66" s="20" t="s">
        <v>186</v>
      </c>
      <c r="D66" s="2">
        <v>2.5</v>
      </c>
      <c r="E66" s="21"/>
      <c r="F66" s="2">
        <f t="shared" si="1"/>
        <v>0</v>
      </c>
      <c r="G66" s="3" t="str">
        <f>HYPERLINK("http://tmmp-catalog.com.ua/katalog/37/18153/","фото")</f>
        <v>фото</v>
      </c>
      <c r="H66" s="22"/>
    </row>
    <row r="67" spans="1:8" ht="15" x14ac:dyDescent="0.2">
      <c r="A67" s="18">
        <v>2000000007977</v>
      </c>
      <c r="B67" s="19" t="s">
        <v>187</v>
      </c>
      <c r="C67" s="20" t="s">
        <v>188</v>
      </c>
      <c r="D67" s="2">
        <v>3.8</v>
      </c>
      <c r="E67" s="21"/>
      <c r="F67" s="2">
        <f t="shared" si="1"/>
        <v>0</v>
      </c>
      <c r="G67" s="3" t="str">
        <f>HYPERLINK("http://tmmp-catalog.com.ua/katalog/13/15985/","фото")</f>
        <v>фото</v>
      </c>
      <c r="H67" s="22"/>
    </row>
    <row r="68" spans="1:8" ht="15" x14ac:dyDescent="0.2">
      <c r="A68" s="18">
        <v>2000000008424</v>
      </c>
      <c r="B68" s="19" t="s">
        <v>189</v>
      </c>
      <c r="C68" s="20" t="s">
        <v>190</v>
      </c>
      <c r="D68" s="2">
        <v>6</v>
      </c>
      <c r="E68" s="21"/>
      <c r="F68" s="2">
        <f t="shared" ref="F68:F99" si="2">cena*zakaz</f>
        <v>0</v>
      </c>
      <c r="G68" s="3" t="str">
        <f>HYPERLINK("http://tmmp-catalog.com.ua/katalog/13/16032/","фото")</f>
        <v>фото</v>
      </c>
      <c r="H68" s="22"/>
    </row>
    <row r="69" spans="1:8" ht="15" x14ac:dyDescent="0.2">
      <c r="A69" s="18">
        <v>2000000008400</v>
      </c>
      <c r="B69" s="19" t="s">
        <v>191</v>
      </c>
      <c r="C69" s="20" t="s">
        <v>192</v>
      </c>
      <c r="D69" s="2">
        <v>16</v>
      </c>
      <c r="E69" s="21"/>
      <c r="F69" s="2">
        <f t="shared" si="2"/>
        <v>0</v>
      </c>
      <c r="G69" s="3" t="str">
        <f>HYPERLINK("http://tmmp-catalog.com.ua/katalog/13/16030/","фото")</f>
        <v>фото</v>
      </c>
      <c r="H69" s="22"/>
    </row>
    <row r="70" spans="1:8" ht="15" x14ac:dyDescent="0.2">
      <c r="A70" s="18"/>
      <c r="B70" s="19" t="s">
        <v>193</v>
      </c>
      <c r="C70" s="20" t="s">
        <v>194</v>
      </c>
      <c r="D70" s="2">
        <v>0.2</v>
      </c>
      <c r="E70" s="21"/>
      <c r="F70" s="2">
        <f t="shared" si="2"/>
        <v>0</v>
      </c>
      <c r="G70" s="3" t="str">
        <f>HYPERLINK("http://tmmp-catalog.com.ua/katalog/37/17240/","фото")</f>
        <v>фото</v>
      </c>
      <c r="H70" s="22"/>
    </row>
    <row r="71" spans="1:8" ht="15" x14ac:dyDescent="0.2">
      <c r="A71" s="18"/>
      <c r="B71" s="19" t="s">
        <v>195</v>
      </c>
      <c r="C71" s="20" t="s">
        <v>196</v>
      </c>
      <c r="D71" s="2">
        <v>2.5</v>
      </c>
      <c r="E71" s="21"/>
      <c r="F71" s="2">
        <f t="shared" si="2"/>
        <v>0</v>
      </c>
      <c r="G71" s="3" t="str">
        <f>HYPERLINK("http://tmmp-catalog.com.ua/katalog/37/17225/","фото")</f>
        <v>фото</v>
      </c>
      <c r="H71" s="22"/>
    </row>
    <row r="72" spans="1:8" ht="15" x14ac:dyDescent="0.2">
      <c r="A72" s="18">
        <v>2000000021478</v>
      </c>
      <c r="B72" s="19" t="s">
        <v>197</v>
      </c>
      <c r="C72" s="20" t="s">
        <v>198</v>
      </c>
      <c r="D72" s="2">
        <v>1.4</v>
      </c>
      <c r="E72" s="21"/>
      <c r="F72" s="2">
        <f t="shared" si="2"/>
        <v>0</v>
      </c>
      <c r="G72" s="3" t="str">
        <f>HYPERLINK("http://tmmp-catalog.com.ua/katalog/26/14529/","фото")</f>
        <v>фото</v>
      </c>
      <c r="H72" s="22"/>
    </row>
    <row r="73" spans="1:8" ht="15" x14ac:dyDescent="0.2">
      <c r="A73" s="18"/>
      <c r="B73" s="19" t="s">
        <v>199</v>
      </c>
      <c r="C73" s="20" t="s">
        <v>200</v>
      </c>
      <c r="D73" s="2">
        <v>1.8</v>
      </c>
      <c r="E73" s="21"/>
      <c r="F73" s="2">
        <f t="shared" si="2"/>
        <v>0</v>
      </c>
      <c r="G73" s="3" t="str">
        <f>HYPERLINK("http://tmmp-catalog.com.ua/katalog/37/18523/","фото")</f>
        <v>фото</v>
      </c>
      <c r="H73" s="22"/>
    </row>
    <row r="74" spans="1:8" ht="15" x14ac:dyDescent="0.2">
      <c r="A74" s="18"/>
      <c r="B74" s="19" t="s">
        <v>201</v>
      </c>
      <c r="C74" s="20" t="s">
        <v>202</v>
      </c>
      <c r="D74" s="2">
        <v>1.8</v>
      </c>
      <c r="E74" s="21"/>
      <c r="F74" s="2">
        <f t="shared" si="2"/>
        <v>0</v>
      </c>
      <c r="G74" s="3" t="str">
        <f>HYPERLINK("http://tmmp-catalog.com.ua/katalog/37/18525/","фото")</f>
        <v>фото</v>
      </c>
      <c r="H74" s="22"/>
    </row>
    <row r="75" spans="1:8" ht="15" x14ac:dyDescent="0.2">
      <c r="A75" s="18">
        <v>2000000021546</v>
      </c>
      <c r="B75" s="19" t="s">
        <v>203</v>
      </c>
      <c r="C75" s="20" t="s">
        <v>204</v>
      </c>
      <c r="D75" s="2">
        <v>1.4</v>
      </c>
      <c r="E75" s="21"/>
      <c r="F75" s="2">
        <f t="shared" si="2"/>
        <v>0</v>
      </c>
      <c r="G75" s="3" t="str">
        <f>HYPERLINK("http://tmmp-catalog.com.ua/katalog/26/14536/","фото")</f>
        <v>фото</v>
      </c>
      <c r="H75" s="22"/>
    </row>
    <row r="76" spans="1:8" ht="15" x14ac:dyDescent="0.2">
      <c r="A76" s="18"/>
      <c r="B76" s="19" t="s">
        <v>205</v>
      </c>
      <c r="C76" s="20" t="s">
        <v>206</v>
      </c>
      <c r="D76" s="2">
        <v>3.3</v>
      </c>
      <c r="E76" s="21"/>
      <c r="F76" s="2">
        <f t="shared" si="2"/>
        <v>0</v>
      </c>
      <c r="G76" s="3" t="str">
        <f>HYPERLINK("http://tmmp-catalog.com.ua/katalog/37/17639/","фото")</f>
        <v>фото</v>
      </c>
      <c r="H76" s="22"/>
    </row>
    <row r="77" spans="1:8" ht="15" x14ac:dyDescent="0.2">
      <c r="A77" s="18">
        <v>2000000008639</v>
      </c>
      <c r="B77" s="19" t="s">
        <v>207</v>
      </c>
      <c r="C77" s="20" t="s">
        <v>208</v>
      </c>
      <c r="D77" s="2">
        <v>2.2999999999999998</v>
      </c>
      <c r="E77" s="21"/>
      <c r="F77" s="2">
        <f t="shared" si="2"/>
        <v>0</v>
      </c>
      <c r="G77" s="3" t="str">
        <f>HYPERLINK("http://tmmp-catalog.com.ua/katalog/13/16056/","фото")</f>
        <v>фото</v>
      </c>
      <c r="H77" s="22"/>
    </row>
    <row r="78" spans="1:8" ht="15" x14ac:dyDescent="0.2">
      <c r="A78" s="18"/>
      <c r="B78" s="19" t="s">
        <v>209</v>
      </c>
      <c r="C78" s="20" t="s">
        <v>210</v>
      </c>
      <c r="D78" s="2">
        <v>3.3</v>
      </c>
      <c r="E78" s="21"/>
      <c r="F78" s="2">
        <f t="shared" si="2"/>
        <v>0</v>
      </c>
      <c r="G78" s="3" t="str">
        <f>HYPERLINK("http://tmmp-catalog.com.ua/katalog/37/17638/","фото")</f>
        <v>фото</v>
      </c>
      <c r="H78" s="22"/>
    </row>
    <row r="79" spans="1:8" ht="15" x14ac:dyDescent="0.2">
      <c r="A79" s="18"/>
      <c r="B79" s="19" t="s">
        <v>211</v>
      </c>
      <c r="C79" s="20" t="s">
        <v>212</v>
      </c>
      <c r="D79" s="2">
        <v>3.3</v>
      </c>
      <c r="E79" s="21"/>
      <c r="F79" s="2">
        <f t="shared" si="2"/>
        <v>0</v>
      </c>
      <c r="G79" s="3" t="str">
        <f>HYPERLINK("http://tmmp-catalog.com.ua/katalog/37/17637/","фото")</f>
        <v>фото</v>
      </c>
      <c r="H79" s="22"/>
    </row>
    <row r="80" spans="1:8" ht="15" x14ac:dyDescent="0.2">
      <c r="A80" s="18">
        <v>2000000021577</v>
      </c>
      <c r="B80" s="19" t="s">
        <v>213</v>
      </c>
      <c r="C80" s="20" t="s">
        <v>214</v>
      </c>
      <c r="D80" s="2">
        <v>0.25</v>
      </c>
      <c r="E80" s="21"/>
      <c r="F80" s="2">
        <f t="shared" si="2"/>
        <v>0</v>
      </c>
      <c r="G80" s="3" t="str">
        <f>HYPERLINK("http://tmmp-catalog.com.ua/katalog/26/14539/","фото")</f>
        <v>фото</v>
      </c>
      <c r="H80" s="22"/>
    </row>
    <row r="81" spans="1:8" ht="15" x14ac:dyDescent="0.2">
      <c r="A81" s="18"/>
      <c r="B81" s="19" t="s">
        <v>215</v>
      </c>
      <c r="C81" s="20" t="s">
        <v>216</v>
      </c>
      <c r="D81" s="2">
        <v>0.25</v>
      </c>
      <c r="E81" s="21"/>
      <c r="F81" s="2">
        <f t="shared" si="2"/>
        <v>0</v>
      </c>
      <c r="G81" s="3" t="str">
        <f>HYPERLINK("http://tmmp-catalog.com.ua/katalog/37/18755/","фото")</f>
        <v>фото</v>
      </c>
      <c r="H81" s="22"/>
    </row>
    <row r="82" spans="1:8" ht="15" x14ac:dyDescent="0.2">
      <c r="A82" s="18">
        <v>2000000033396</v>
      </c>
      <c r="B82" s="19" t="s">
        <v>217</v>
      </c>
      <c r="C82" s="20" t="s">
        <v>218</v>
      </c>
      <c r="D82" s="2">
        <v>4</v>
      </c>
      <c r="E82" s="21"/>
      <c r="F82" s="2">
        <f t="shared" si="2"/>
        <v>0</v>
      </c>
      <c r="G82" s="3" t="str">
        <f>HYPERLINK("http://tmmp-catalog.com.ua/katalog/8/13562/","фото")</f>
        <v>фото</v>
      </c>
      <c r="H82" s="22"/>
    </row>
    <row r="83" spans="1:8" ht="15" x14ac:dyDescent="0.2">
      <c r="A83" s="18">
        <v>2000000008752</v>
      </c>
      <c r="B83" s="19" t="s">
        <v>219</v>
      </c>
      <c r="C83" s="20" t="s">
        <v>220</v>
      </c>
      <c r="D83" s="2">
        <v>7.8</v>
      </c>
      <c r="E83" s="21"/>
      <c r="F83" s="2">
        <f t="shared" si="2"/>
        <v>0</v>
      </c>
      <c r="G83" s="3" t="str">
        <f>HYPERLINK("http://tmmp-catalog.com.ua/katalog/13/16068/","фото")</f>
        <v>фото</v>
      </c>
      <c r="H83" s="22"/>
    </row>
    <row r="84" spans="1:8" ht="15" x14ac:dyDescent="0.2">
      <c r="A84" s="18">
        <v>2000000033402</v>
      </c>
      <c r="B84" s="19" t="s">
        <v>221</v>
      </c>
      <c r="C84" s="20" t="s">
        <v>222</v>
      </c>
      <c r="D84" s="2">
        <v>2.7</v>
      </c>
      <c r="E84" s="21"/>
      <c r="F84" s="2">
        <f t="shared" si="2"/>
        <v>0</v>
      </c>
      <c r="G84" s="3" t="str">
        <f>HYPERLINK("http://tmmp-catalog.com.ua/katalog/8/13563/","фото")</f>
        <v>фото</v>
      </c>
      <c r="H84" s="22"/>
    </row>
    <row r="85" spans="1:8" ht="15" x14ac:dyDescent="0.2">
      <c r="A85" s="18"/>
      <c r="B85" s="19" t="s">
        <v>223</v>
      </c>
      <c r="C85" s="20" t="s">
        <v>224</v>
      </c>
      <c r="D85" s="2">
        <v>2.75</v>
      </c>
      <c r="E85" s="21"/>
      <c r="F85" s="2">
        <f t="shared" si="2"/>
        <v>0</v>
      </c>
      <c r="G85" s="3" t="str">
        <f>HYPERLINK("http://tmmp-catalog.com.ua/katalog/37/18533/","фото")</f>
        <v>фото</v>
      </c>
      <c r="H85" s="22"/>
    </row>
    <row r="86" spans="1:8" ht="15" x14ac:dyDescent="0.2">
      <c r="A86" s="18"/>
      <c r="B86" s="19" t="s">
        <v>225</v>
      </c>
      <c r="C86" s="20" t="s">
        <v>226</v>
      </c>
      <c r="D86" s="2">
        <v>3.65</v>
      </c>
      <c r="E86" s="21"/>
      <c r="F86" s="2">
        <f t="shared" si="2"/>
        <v>0</v>
      </c>
      <c r="G86" s="3" t="str">
        <f>HYPERLINK("http://tmmp-catalog.com.ua/katalog/37/18900/","фото")</f>
        <v>фото</v>
      </c>
      <c r="H86" s="22"/>
    </row>
    <row r="87" spans="1:8" ht="15" x14ac:dyDescent="0.2">
      <c r="A87" s="18"/>
      <c r="B87" s="19" t="s">
        <v>227</v>
      </c>
      <c r="C87" s="20" t="s">
        <v>228</v>
      </c>
      <c r="D87" s="2">
        <v>10</v>
      </c>
      <c r="E87" s="21"/>
      <c r="F87" s="2">
        <f t="shared" si="2"/>
        <v>0</v>
      </c>
      <c r="G87" s="3" t="str">
        <f>HYPERLINK("http://tmmp-catalog.com.ua/katalog/8/17600/","фото")</f>
        <v>фото</v>
      </c>
      <c r="H87" s="22"/>
    </row>
    <row r="88" spans="1:8" ht="15" x14ac:dyDescent="0.2">
      <c r="A88" s="18"/>
      <c r="B88" s="19" t="s">
        <v>229</v>
      </c>
      <c r="C88" s="20" t="s">
        <v>230</v>
      </c>
      <c r="D88" s="2">
        <v>6.3</v>
      </c>
      <c r="E88" s="21"/>
      <c r="F88" s="2">
        <f t="shared" si="2"/>
        <v>0</v>
      </c>
      <c r="G88" s="3" t="str">
        <f>HYPERLINK("http://tmmp-catalog.com.ua/katalog/37/17283/","фото")</f>
        <v>фото</v>
      </c>
      <c r="H88" s="22"/>
    </row>
    <row r="89" spans="1:8" ht="15" x14ac:dyDescent="0.2">
      <c r="A89" s="18">
        <v>2000000008714</v>
      </c>
      <c r="B89" s="19" t="s">
        <v>231</v>
      </c>
      <c r="C89" s="20" t="s">
        <v>232</v>
      </c>
      <c r="D89" s="2">
        <v>9</v>
      </c>
      <c r="E89" s="21"/>
      <c r="F89" s="2">
        <f t="shared" si="2"/>
        <v>0</v>
      </c>
      <c r="G89" s="3" t="str">
        <f>HYPERLINK("http://tmmp-catalog.com.ua/katalog/13/16064/","фото")</f>
        <v>фото</v>
      </c>
      <c r="H89" s="22"/>
    </row>
    <row r="90" spans="1:8" ht="15" x14ac:dyDescent="0.2">
      <c r="A90" s="18"/>
      <c r="B90" s="19" t="s">
        <v>233</v>
      </c>
      <c r="C90" s="20" t="s">
        <v>234</v>
      </c>
      <c r="D90" s="2">
        <v>11</v>
      </c>
      <c r="E90" s="21"/>
      <c r="F90" s="2">
        <f t="shared" si="2"/>
        <v>0</v>
      </c>
      <c r="G90" s="3" t="str">
        <f>HYPERLINK("http://tmmp-catalog.com.ua/katalog/13/17602/","фото")</f>
        <v>фото</v>
      </c>
      <c r="H90" s="22"/>
    </row>
    <row r="91" spans="1:8" ht="15" x14ac:dyDescent="0.2">
      <c r="A91" s="18">
        <v>2000000025179</v>
      </c>
      <c r="B91" s="19" t="s">
        <v>235</v>
      </c>
      <c r="C91" s="20" t="s">
        <v>236</v>
      </c>
      <c r="D91" s="2">
        <v>6.5</v>
      </c>
      <c r="E91" s="21"/>
      <c r="F91" s="2">
        <f t="shared" si="2"/>
        <v>0</v>
      </c>
      <c r="G91" s="3" t="str">
        <f>HYPERLINK("http://tmmp-catalog.com.ua/katalog/3/14159/","фото")</f>
        <v>фото</v>
      </c>
      <c r="H91" s="22"/>
    </row>
    <row r="92" spans="1:8" ht="15" x14ac:dyDescent="0.2">
      <c r="A92" s="18"/>
      <c r="B92" s="19" t="s">
        <v>237</v>
      </c>
      <c r="C92" s="20" t="s">
        <v>238</v>
      </c>
      <c r="D92" s="2">
        <v>5</v>
      </c>
      <c r="E92" s="21"/>
      <c r="F92" s="2">
        <f t="shared" si="2"/>
        <v>0</v>
      </c>
      <c r="G92" s="3" t="str">
        <f>HYPERLINK("http://tmmp-catalog.com.ua/katalog/3/17616/","фото")</f>
        <v>фото</v>
      </c>
      <c r="H92" s="22"/>
    </row>
    <row r="93" spans="1:8" ht="15" x14ac:dyDescent="0.2">
      <c r="A93" s="18"/>
      <c r="B93" s="19" t="s">
        <v>239</v>
      </c>
      <c r="C93" s="20" t="s">
        <v>240</v>
      </c>
      <c r="D93" s="2">
        <v>11.2</v>
      </c>
      <c r="E93" s="21"/>
      <c r="F93" s="2">
        <f t="shared" si="2"/>
        <v>0</v>
      </c>
      <c r="G93" s="3" t="str">
        <f>HYPERLINK("http://tmmp-catalog.com.ua/katalog/3/17615/","фото")</f>
        <v>фото</v>
      </c>
      <c r="H93" s="22"/>
    </row>
    <row r="94" spans="1:8" ht="15" x14ac:dyDescent="0.2">
      <c r="A94" s="18">
        <v>2000000025186</v>
      </c>
      <c r="B94" s="19" t="s">
        <v>241</v>
      </c>
      <c r="C94" s="20" t="s">
        <v>242</v>
      </c>
      <c r="D94" s="2">
        <v>5.9</v>
      </c>
      <c r="E94" s="21"/>
      <c r="F94" s="2">
        <f t="shared" si="2"/>
        <v>0</v>
      </c>
      <c r="G94" s="3" t="str">
        <f>HYPERLINK("http://tmmp-catalog.com.ua/katalog/3/14160/","фото")</f>
        <v>фото</v>
      </c>
      <c r="H94" s="22"/>
    </row>
    <row r="95" spans="1:8" ht="15" x14ac:dyDescent="0.2">
      <c r="A95" s="18"/>
      <c r="B95" s="19" t="s">
        <v>243</v>
      </c>
      <c r="C95" s="20" t="s">
        <v>244</v>
      </c>
      <c r="D95" s="2">
        <v>5</v>
      </c>
      <c r="E95" s="21"/>
      <c r="F95" s="2">
        <f t="shared" si="2"/>
        <v>0</v>
      </c>
      <c r="G95" s="3" t="str">
        <f>HYPERLINK("http://tmmp-catalog.com.ua/katalog/3/17617/","фото")</f>
        <v>фото</v>
      </c>
      <c r="H95" s="22"/>
    </row>
    <row r="96" spans="1:8" ht="15" x14ac:dyDescent="0.2">
      <c r="A96" s="18"/>
      <c r="B96" s="19" t="s">
        <v>245</v>
      </c>
      <c r="C96" s="20" t="s">
        <v>246</v>
      </c>
      <c r="D96" s="2">
        <v>11.4</v>
      </c>
      <c r="E96" s="21"/>
      <c r="F96" s="2">
        <f t="shared" si="2"/>
        <v>0</v>
      </c>
      <c r="G96" s="3" t="str">
        <f>HYPERLINK("http://tmmp-catalog.com.ua/katalog/3/17614/","фото")</f>
        <v>фото</v>
      </c>
      <c r="H96" s="22"/>
    </row>
    <row r="97" spans="1:8" ht="15" x14ac:dyDescent="0.2">
      <c r="A97" s="18"/>
      <c r="B97" s="19" t="s">
        <v>247</v>
      </c>
      <c r="C97" s="20" t="s">
        <v>248</v>
      </c>
      <c r="D97" s="2">
        <v>4.7</v>
      </c>
      <c r="E97" s="21"/>
      <c r="F97" s="2">
        <f t="shared" si="2"/>
        <v>0</v>
      </c>
      <c r="G97" s="3" t="str">
        <f>HYPERLINK("http://tmmp-catalog.com.ua/katalog/37/18833/","фото")</f>
        <v>фото</v>
      </c>
      <c r="H97" s="22"/>
    </row>
    <row r="98" spans="1:8" ht="15" x14ac:dyDescent="0.2">
      <c r="A98" s="18"/>
      <c r="B98" s="19" t="s">
        <v>249</v>
      </c>
      <c r="C98" s="20" t="s">
        <v>250</v>
      </c>
      <c r="D98" s="2">
        <v>5.3</v>
      </c>
      <c r="E98" s="21"/>
      <c r="F98" s="2">
        <f t="shared" si="2"/>
        <v>0</v>
      </c>
      <c r="G98" s="3" t="str">
        <f>HYPERLINK("http://tmmp-catalog.com.ua/katalog/13/17605/","фото")</f>
        <v>фото</v>
      </c>
      <c r="H98" s="22"/>
    </row>
    <row r="99" spans="1:8" ht="15" x14ac:dyDescent="0.2">
      <c r="A99" s="18">
        <v>2000000008691</v>
      </c>
      <c r="B99" s="19" t="s">
        <v>251</v>
      </c>
      <c r="C99" s="20" t="s">
        <v>252</v>
      </c>
      <c r="D99" s="2">
        <v>5.5</v>
      </c>
      <c r="E99" s="21"/>
      <c r="F99" s="2">
        <f t="shared" si="2"/>
        <v>0</v>
      </c>
      <c r="G99" s="3" t="str">
        <f>HYPERLINK("http://tmmp-catalog.com.ua/katalog/13/16062/","фото")</f>
        <v>фото</v>
      </c>
      <c r="H99" s="22"/>
    </row>
    <row r="100" spans="1:8" ht="15" x14ac:dyDescent="0.2">
      <c r="A100" s="18"/>
      <c r="B100" s="19" t="s">
        <v>253</v>
      </c>
      <c r="C100" s="20" t="s">
        <v>254</v>
      </c>
      <c r="D100" s="2">
        <v>12.3</v>
      </c>
      <c r="E100" s="21"/>
      <c r="F100" s="2">
        <f t="shared" ref="F100:F111" si="3">cena*zakaz</f>
        <v>0</v>
      </c>
      <c r="G100" s="3" t="str">
        <f>HYPERLINK("http://tmmp-catalog.com.ua/katalog/13/17604/","фото")</f>
        <v>фото</v>
      </c>
      <c r="H100" s="22"/>
    </row>
    <row r="101" spans="1:8" ht="15" x14ac:dyDescent="0.2">
      <c r="A101" s="18"/>
      <c r="B101" s="19" t="s">
        <v>255</v>
      </c>
      <c r="C101" s="20" t="s">
        <v>256</v>
      </c>
      <c r="D101" s="2">
        <v>13.2</v>
      </c>
      <c r="E101" s="21"/>
      <c r="F101" s="2">
        <f t="shared" si="3"/>
        <v>0</v>
      </c>
      <c r="G101" s="3" t="str">
        <f>HYPERLINK("http://tmmp-catalog.com.ua/katalog/37/17606/","фото")</f>
        <v>фото</v>
      </c>
      <c r="H101" s="22"/>
    </row>
    <row r="102" spans="1:8" ht="15" x14ac:dyDescent="0.2">
      <c r="A102" s="18">
        <v>2000000034010</v>
      </c>
      <c r="B102" s="19" t="s">
        <v>257</v>
      </c>
      <c r="C102" s="20" t="s">
        <v>258</v>
      </c>
      <c r="D102" s="2">
        <v>5</v>
      </c>
      <c r="E102" s="21"/>
      <c r="F102" s="2">
        <f t="shared" si="3"/>
        <v>0</v>
      </c>
      <c r="G102" s="3" t="str">
        <f>HYPERLINK("http://tmmp-catalog.com.ua/katalog/8/16581/","фото")</f>
        <v>фото</v>
      </c>
      <c r="H102" s="22"/>
    </row>
    <row r="103" spans="1:8" ht="15" x14ac:dyDescent="0.2">
      <c r="A103" s="18">
        <v>2000000033464</v>
      </c>
      <c r="B103" s="19" t="s">
        <v>259</v>
      </c>
      <c r="C103" s="20" t="s">
        <v>260</v>
      </c>
      <c r="D103" s="2">
        <v>5.5</v>
      </c>
      <c r="E103" s="21"/>
      <c r="F103" s="2">
        <f t="shared" si="3"/>
        <v>0</v>
      </c>
      <c r="G103" s="3" t="str">
        <f>HYPERLINK("http://tmmp-catalog.com.ua/katalog/8/13569/","фото")</f>
        <v>фото</v>
      </c>
      <c r="H103" s="22"/>
    </row>
    <row r="104" spans="1:8" ht="15" x14ac:dyDescent="0.2">
      <c r="A104" s="18">
        <v>2000000033440</v>
      </c>
      <c r="B104" s="19" t="s">
        <v>261</v>
      </c>
      <c r="C104" s="20" t="s">
        <v>262</v>
      </c>
      <c r="D104" s="2">
        <v>6.5</v>
      </c>
      <c r="E104" s="21"/>
      <c r="F104" s="2">
        <f t="shared" si="3"/>
        <v>0</v>
      </c>
      <c r="G104" s="3" t="str">
        <f>HYPERLINK("http://tmmp-catalog.com.ua/katalog/8/13567/","фото")</f>
        <v>фото</v>
      </c>
      <c r="H104" s="22"/>
    </row>
    <row r="105" spans="1:8" ht="15" x14ac:dyDescent="0.2">
      <c r="A105" s="18"/>
      <c r="B105" s="19" t="s">
        <v>263</v>
      </c>
      <c r="C105" s="20" t="s">
        <v>264</v>
      </c>
      <c r="D105" s="2">
        <v>7.15</v>
      </c>
      <c r="E105" s="21"/>
      <c r="F105" s="2">
        <f t="shared" si="3"/>
        <v>0</v>
      </c>
      <c r="G105" s="3" t="str">
        <f>HYPERLINK("http://tmmp-catalog.com.ua/katalog/13/17613/","фото")</f>
        <v>фото</v>
      </c>
      <c r="H105" s="22"/>
    </row>
    <row r="106" spans="1:8" ht="15" x14ac:dyDescent="0.2">
      <c r="A106" s="18"/>
      <c r="B106" s="19" t="s">
        <v>265</v>
      </c>
      <c r="C106" s="20" t="s">
        <v>266</v>
      </c>
      <c r="D106" s="2">
        <v>18.399999999999999</v>
      </c>
      <c r="E106" s="21"/>
      <c r="F106" s="2">
        <f t="shared" si="3"/>
        <v>0</v>
      </c>
      <c r="G106" s="3" t="str">
        <f>HYPERLINK("http://tmmp-catalog.com.ua/katalog/13/17612/","фото")</f>
        <v>фото</v>
      </c>
      <c r="H106" s="22"/>
    </row>
    <row r="107" spans="1:8" ht="15" x14ac:dyDescent="0.2">
      <c r="A107" s="18">
        <v>2000000009353</v>
      </c>
      <c r="B107" s="19" t="s">
        <v>267</v>
      </c>
      <c r="C107" s="20" t="s">
        <v>268</v>
      </c>
      <c r="D107" s="2">
        <v>5</v>
      </c>
      <c r="E107" s="21"/>
      <c r="F107" s="2">
        <f t="shared" si="3"/>
        <v>0</v>
      </c>
      <c r="G107" s="3" t="str">
        <f>HYPERLINK("http://tmmp-catalog.com.ua/katalog/13/16649/","фото")</f>
        <v>фото</v>
      </c>
      <c r="H107" s="22"/>
    </row>
    <row r="108" spans="1:8" ht="15" x14ac:dyDescent="0.2">
      <c r="A108" s="18"/>
      <c r="B108" s="19" t="s">
        <v>269</v>
      </c>
      <c r="C108" s="20" t="s">
        <v>270</v>
      </c>
      <c r="D108" s="2">
        <v>5.7</v>
      </c>
      <c r="E108" s="21"/>
      <c r="F108" s="2">
        <f t="shared" si="3"/>
        <v>0</v>
      </c>
      <c r="G108" s="3" t="str">
        <f>HYPERLINK("http://tmmp-catalog.com.ua/katalog/13/17274/","фото")</f>
        <v>фото</v>
      </c>
      <c r="H108" s="22"/>
    </row>
    <row r="109" spans="1:8" ht="15" x14ac:dyDescent="0.2">
      <c r="A109" s="18"/>
      <c r="B109" s="19" t="s">
        <v>271</v>
      </c>
      <c r="C109" s="20" t="s">
        <v>272</v>
      </c>
      <c r="D109" s="2">
        <v>23.5</v>
      </c>
      <c r="E109" s="21"/>
      <c r="F109" s="2">
        <f t="shared" si="3"/>
        <v>0</v>
      </c>
      <c r="G109" s="3" t="str">
        <f>HYPERLINK("http://tmmp-catalog.com.ua/katalog/37/17610/","фото")</f>
        <v>фото</v>
      </c>
      <c r="H109" s="22"/>
    </row>
    <row r="110" spans="1:8" ht="15" x14ac:dyDescent="0.2">
      <c r="A110" s="18"/>
      <c r="B110" s="19" t="s">
        <v>273</v>
      </c>
      <c r="C110" s="20" t="s">
        <v>274</v>
      </c>
      <c r="D110" s="2">
        <v>8.1999999999999993</v>
      </c>
      <c r="E110" s="21"/>
      <c r="F110" s="2">
        <f t="shared" si="3"/>
        <v>0</v>
      </c>
      <c r="G110" s="3" t="str">
        <f>HYPERLINK("http://tmmp-catalog.com.ua/katalog/37/17609/","фото")</f>
        <v>фото</v>
      </c>
      <c r="H110" s="22"/>
    </row>
    <row r="111" spans="1:8" ht="15" x14ac:dyDescent="0.2">
      <c r="A111" s="18"/>
      <c r="B111" s="19" t="s">
        <v>275</v>
      </c>
      <c r="C111" s="20" t="s">
        <v>276</v>
      </c>
      <c r="D111" s="2">
        <v>37</v>
      </c>
      <c r="E111" s="21"/>
      <c r="F111" s="2">
        <f t="shared" si="3"/>
        <v>0</v>
      </c>
      <c r="G111" s="3" t="str">
        <f>HYPERLINK("http://tmmp-catalog.com.ua/katalog/37/17608/","фото")</f>
        <v>фото</v>
      </c>
      <c r="H111" s="22"/>
    </row>
    <row r="112" spans="1:8" ht="23.25" x14ac:dyDescent="0.2">
      <c r="A112" s="18"/>
      <c r="B112" s="51"/>
      <c r="C112" s="56" t="s">
        <v>30</v>
      </c>
      <c r="D112" s="52"/>
      <c r="E112" s="53"/>
      <c r="F112" s="52"/>
      <c r="G112" s="54"/>
      <c r="H112" s="55"/>
    </row>
    <row r="113" spans="1:8" ht="15" x14ac:dyDescent="0.2">
      <c r="A113" s="18">
        <v>2000000003870</v>
      </c>
      <c r="B113" s="19" t="s">
        <v>277</v>
      </c>
      <c r="C113" s="20" t="s">
        <v>278</v>
      </c>
      <c r="D113" s="2">
        <v>1.3</v>
      </c>
      <c r="E113" s="21"/>
      <c r="F113" s="2">
        <f t="shared" ref="F113:F119" si="4">cena*zakaz</f>
        <v>0</v>
      </c>
      <c r="G113" s="3" t="str">
        <f>HYPERLINK("http://tmmp-catalog.com.ua/katalog/13/15568/","фото")</f>
        <v>фото</v>
      </c>
      <c r="H113" s="22"/>
    </row>
    <row r="114" spans="1:8" ht="15" x14ac:dyDescent="0.2">
      <c r="A114" s="18">
        <v>2000000003887</v>
      </c>
      <c r="B114" s="19" t="s">
        <v>279</v>
      </c>
      <c r="C114" s="20" t="s">
        <v>280</v>
      </c>
      <c r="D114" s="2">
        <v>0.6</v>
      </c>
      <c r="E114" s="21"/>
      <c r="F114" s="2">
        <f t="shared" si="4"/>
        <v>0</v>
      </c>
      <c r="G114" s="3" t="str">
        <f>HYPERLINK("http://tmmp-catalog.com.ua/katalog/13/15569/","фото")</f>
        <v>фото</v>
      </c>
      <c r="H114" s="22"/>
    </row>
    <row r="115" spans="1:8" ht="15" x14ac:dyDescent="0.2">
      <c r="A115" s="18"/>
      <c r="B115" s="19" t="s">
        <v>281</v>
      </c>
      <c r="C115" s="20" t="s">
        <v>282</v>
      </c>
      <c r="D115" s="2">
        <v>2.5</v>
      </c>
      <c r="E115" s="21"/>
      <c r="F115" s="2">
        <f t="shared" si="4"/>
        <v>0</v>
      </c>
      <c r="G115" s="3" t="str">
        <f>HYPERLINK("http://tmmp-catalog.com.ua/katalog/37/18082/","фото")</f>
        <v>фото</v>
      </c>
      <c r="H115" s="22"/>
    </row>
    <row r="116" spans="1:8" ht="15" x14ac:dyDescent="0.2">
      <c r="A116" s="18">
        <v>2000000003900</v>
      </c>
      <c r="B116" s="19" t="s">
        <v>283</v>
      </c>
      <c r="C116" s="20" t="s">
        <v>284</v>
      </c>
      <c r="D116" s="2">
        <v>0.6</v>
      </c>
      <c r="E116" s="21"/>
      <c r="F116" s="2">
        <f t="shared" si="4"/>
        <v>0</v>
      </c>
      <c r="G116" s="3" t="str">
        <f>HYPERLINK("http://tmmp-catalog.com.ua/katalog/13/15571/","фото")</f>
        <v>фото</v>
      </c>
      <c r="H116" s="22"/>
    </row>
    <row r="117" spans="1:8" ht="15" x14ac:dyDescent="0.2">
      <c r="A117" s="18">
        <v>2000000027845</v>
      </c>
      <c r="B117" s="19" t="s">
        <v>285</v>
      </c>
      <c r="C117" s="20" t="s">
        <v>286</v>
      </c>
      <c r="D117" s="2">
        <v>1.9</v>
      </c>
      <c r="E117" s="21"/>
      <c r="F117" s="2">
        <f t="shared" si="4"/>
        <v>0</v>
      </c>
      <c r="G117" s="3" t="str">
        <f>HYPERLINK("http://tmmp-catalog.com.ua/katalog/37/16738/","фото")</f>
        <v>фото</v>
      </c>
      <c r="H117" s="22"/>
    </row>
    <row r="118" spans="1:8" ht="30" x14ac:dyDescent="0.2">
      <c r="A118" s="18"/>
      <c r="B118" s="19" t="s">
        <v>287</v>
      </c>
      <c r="C118" s="20" t="s">
        <v>288</v>
      </c>
      <c r="D118" s="2">
        <v>3.5</v>
      </c>
      <c r="E118" s="21"/>
      <c r="F118" s="2">
        <f t="shared" si="4"/>
        <v>0</v>
      </c>
      <c r="G118" s="3" t="str">
        <f>HYPERLINK("http://tmmp-catalog.com.ua/katalog/37/17654/","фото")</f>
        <v>фото</v>
      </c>
      <c r="H118" s="22"/>
    </row>
    <row r="119" spans="1:8" ht="15" x14ac:dyDescent="0.2">
      <c r="A119" s="18"/>
      <c r="B119" s="19" t="s">
        <v>289</v>
      </c>
      <c r="C119" s="20" t="s">
        <v>290</v>
      </c>
      <c r="D119" s="2">
        <v>0.4</v>
      </c>
      <c r="E119" s="21"/>
      <c r="F119" s="2">
        <f t="shared" si="4"/>
        <v>0</v>
      </c>
      <c r="G119" s="3" t="str">
        <f>HYPERLINK("http://tmmp-catalog.com.ua/katalog/37/18692/","фото")</f>
        <v>фото</v>
      </c>
      <c r="H119" s="22"/>
    </row>
    <row r="120" spans="1:8" ht="23.25" x14ac:dyDescent="0.2">
      <c r="A120" s="18"/>
      <c r="B120" s="51"/>
      <c r="C120" s="56" t="s">
        <v>26</v>
      </c>
      <c r="D120" s="52"/>
      <c r="E120" s="53"/>
      <c r="F120" s="52"/>
      <c r="G120" s="54"/>
      <c r="H120" s="55"/>
    </row>
    <row r="121" spans="1:8" ht="15" x14ac:dyDescent="0.2">
      <c r="A121" s="18">
        <v>2000000029511</v>
      </c>
      <c r="B121" s="19" t="s">
        <v>291</v>
      </c>
      <c r="C121" s="20" t="s">
        <v>292</v>
      </c>
      <c r="D121" s="2">
        <v>18</v>
      </c>
      <c r="E121" s="21"/>
      <c r="F121" s="2">
        <f t="shared" ref="F121:F184" si="5">cena*zakaz</f>
        <v>0</v>
      </c>
      <c r="G121" s="3" t="str">
        <f>HYPERLINK("http://tmmp-catalog.com.ua/katalog/8/13149/","фото")</f>
        <v>фото</v>
      </c>
      <c r="H121" s="22"/>
    </row>
    <row r="122" spans="1:8" ht="15" x14ac:dyDescent="0.2">
      <c r="A122" s="18"/>
      <c r="B122" s="19" t="s">
        <v>293</v>
      </c>
      <c r="C122" s="20" t="s">
        <v>294</v>
      </c>
      <c r="D122" s="2">
        <v>13</v>
      </c>
      <c r="E122" s="21"/>
      <c r="F122" s="2">
        <f t="shared" si="5"/>
        <v>0</v>
      </c>
      <c r="G122" s="3" t="str">
        <f>HYPERLINK("http://tmmp-catalog.com.ua/katalog/37/18274/","фото")</f>
        <v>фото</v>
      </c>
      <c r="H122" s="22"/>
    </row>
    <row r="123" spans="1:8" ht="15" x14ac:dyDescent="0.2">
      <c r="A123" s="18">
        <v>2000000029498</v>
      </c>
      <c r="B123" s="19" t="s">
        <v>295</v>
      </c>
      <c r="C123" s="20" t="s">
        <v>296</v>
      </c>
      <c r="D123" s="2">
        <v>20</v>
      </c>
      <c r="E123" s="21"/>
      <c r="F123" s="2">
        <f t="shared" si="5"/>
        <v>0</v>
      </c>
      <c r="G123" s="3" t="str">
        <f>HYPERLINK("http://tmmp-catalog.com.ua/katalog/8/13147/","фото")</f>
        <v>фото</v>
      </c>
      <c r="H123" s="22"/>
    </row>
    <row r="124" spans="1:8" ht="15" x14ac:dyDescent="0.2">
      <c r="A124" s="18">
        <v>2000000029535</v>
      </c>
      <c r="B124" s="19" t="s">
        <v>297</v>
      </c>
      <c r="C124" s="20" t="s">
        <v>298</v>
      </c>
      <c r="D124" s="2">
        <v>21</v>
      </c>
      <c r="E124" s="21"/>
      <c r="F124" s="2">
        <f t="shared" si="5"/>
        <v>0</v>
      </c>
      <c r="G124" s="3" t="str">
        <f>HYPERLINK("http://tmmp-catalog.com.ua/katalog/8/13151/","фото")</f>
        <v>фото</v>
      </c>
      <c r="H124" s="22"/>
    </row>
    <row r="125" spans="1:8" ht="15" x14ac:dyDescent="0.2">
      <c r="A125" s="18">
        <v>2000000029542</v>
      </c>
      <c r="B125" s="19" t="s">
        <v>299</v>
      </c>
      <c r="C125" s="20" t="s">
        <v>300</v>
      </c>
      <c r="D125" s="2">
        <v>21.5</v>
      </c>
      <c r="E125" s="21"/>
      <c r="F125" s="2">
        <f t="shared" si="5"/>
        <v>0</v>
      </c>
      <c r="G125" s="3" t="str">
        <f>HYPERLINK("http://tmmp-catalog.com.ua/katalog/8/13152/","фото")</f>
        <v>фото</v>
      </c>
      <c r="H125" s="22"/>
    </row>
    <row r="126" spans="1:8" ht="30" x14ac:dyDescent="0.2">
      <c r="A126" s="18">
        <v>1002233100003</v>
      </c>
      <c r="B126" s="19" t="s">
        <v>301</v>
      </c>
      <c r="C126" s="20" t="s">
        <v>302</v>
      </c>
      <c r="D126" s="2">
        <v>40</v>
      </c>
      <c r="E126" s="21"/>
      <c r="F126" s="2">
        <f t="shared" si="5"/>
        <v>0</v>
      </c>
      <c r="G126" s="3" t="str">
        <f>HYPERLINK("http://tmmp-catalog.com.ua/katalog/8/13150/","фото")</f>
        <v>фото</v>
      </c>
      <c r="H126" s="22"/>
    </row>
    <row r="127" spans="1:8" ht="15" x14ac:dyDescent="0.2">
      <c r="A127" s="18">
        <v>2000000002095</v>
      </c>
      <c r="B127" s="19" t="s">
        <v>303</v>
      </c>
      <c r="C127" s="20" t="s">
        <v>304</v>
      </c>
      <c r="D127" s="2">
        <v>19</v>
      </c>
      <c r="E127" s="21"/>
      <c r="F127" s="2">
        <f t="shared" si="5"/>
        <v>0</v>
      </c>
      <c r="G127" s="3" t="str">
        <f>HYPERLINK("http://tmmp-catalog.com.ua/katalog/10/14557/","фото")</f>
        <v>фото</v>
      </c>
      <c r="H127" s="22"/>
    </row>
    <row r="128" spans="1:8" ht="15" x14ac:dyDescent="0.2">
      <c r="A128" s="18"/>
      <c r="B128" s="19" t="s">
        <v>305</v>
      </c>
      <c r="C128" s="20" t="s">
        <v>306</v>
      </c>
      <c r="D128" s="2">
        <v>25</v>
      </c>
      <c r="E128" s="21"/>
      <c r="F128" s="2">
        <f t="shared" si="5"/>
        <v>0</v>
      </c>
      <c r="G128" s="3" t="str">
        <f>HYPERLINK("http://tmmp-catalog.com.ua/katalog/37/18604/","фото")</f>
        <v>фото</v>
      </c>
      <c r="H128" s="22"/>
    </row>
    <row r="129" spans="1:8" ht="15" x14ac:dyDescent="0.2">
      <c r="A129" s="18"/>
      <c r="B129" s="19" t="s">
        <v>307</v>
      </c>
      <c r="C129" s="20" t="s">
        <v>308</v>
      </c>
      <c r="D129" s="2">
        <v>22</v>
      </c>
      <c r="E129" s="21"/>
      <c r="F129" s="2">
        <f t="shared" si="5"/>
        <v>0</v>
      </c>
      <c r="G129" s="3" t="str">
        <f>HYPERLINK("http://tmmp-catalog.com.ua/katalog/10/18069/","фото")</f>
        <v>фото</v>
      </c>
      <c r="H129" s="22"/>
    </row>
    <row r="130" spans="1:8" ht="15" x14ac:dyDescent="0.2">
      <c r="A130" s="18">
        <v>2000000032054</v>
      </c>
      <c r="B130" s="19" t="s">
        <v>309</v>
      </c>
      <c r="C130" s="20" t="s">
        <v>310</v>
      </c>
      <c r="D130" s="2">
        <v>27</v>
      </c>
      <c r="E130" s="21"/>
      <c r="F130" s="2">
        <f t="shared" si="5"/>
        <v>0</v>
      </c>
      <c r="G130" s="3" t="str">
        <f>HYPERLINK("http://tmmp-catalog.com.ua/katalog/8/13415/","фото")</f>
        <v>фото</v>
      </c>
      <c r="H130" s="22"/>
    </row>
    <row r="131" spans="1:8" ht="15" x14ac:dyDescent="0.2">
      <c r="A131" s="18">
        <v>2000000032061</v>
      </c>
      <c r="B131" s="19" t="s">
        <v>311</v>
      </c>
      <c r="C131" s="20" t="s">
        <v>312</v>
      </c>
      <c r="D131" s="2">
        <v>27.5</v>
      </c>
      <c r="E131" s="21"/>
      <c r="F131" s="2">
        <f t="shared" si="5"/>
        <v>0</v>
      </c>
      <c r="G131" s="3" t="str">
        <f>HYPERLINK("http://tmmp-catalog.com.ua/katalog/8/13416/","фото")</f>
        <v>фото</v>
      </c>
      <c r="H131" s="22"/>
    </row>
    <row r="132" spans="1:8" ht="15" x14ac:dyDescent="0.2">
      <c r="A132" s="18">
        <v>2000000032078</v>
      </c>
      <c r="B132" s="19" t="s">
        <v>313</v>
      </c>
      <c r="C132" s="20" t="s">
        <v>314</v>
      </c>
      <c r="D132" s="2">
        <v>35</v>
      </c>
      <c r="E132" s="21"/>
      <c r="F132" s="2">
        <f t="shared" si="5"/>
        <v>0</v>
      </c>
      <c r="G132" s="3" t="str">
        <f>HYPERLINK("http://tmmp-catalog.com.ua/katalog/8/13417/","фото")</f>
        <v>фото</v>
      </c>
      <c r="H132" s="22"/>
    </row>
    <row r="133" spans="1:8" ht="15" x14ac:dyDescent="0.2">
      <c r="A133" s="18">
        <v>2000000002118</v>
      </c>
      <c r="B133" s="19" t="s">
        <v>315</v>
      </c>
      <c r="C133" s="20" t="s">
        <v>316</v>
      </c>
      <c r="D133" s="2">
        <v>14</v>
      </c>
      <c r="E133" s="21"/>
      <c r="F133" s="2">
        <f t="shared" si="5"/>
        <v>0</v>
      </c>
      <c r="G133" s="3" t="str">
        <f>HYPERLINK("http://tmmp-catalog.com.ua/katalog/10/14559/","фото")</f>
        <v>фото</v>
      </c>
      <c r="H133" s="22"/>
    </row>
    <row r="134" spans="1:8" ht="15" x14ac:dyDescent="0.2">
      <c r="A134" s="18">
        <v>2000000034782</v>
      </c>
      <c r="B134" s="19" t="s">
        <v>317</v>
      </c>
      <c r="C134" s="20" t="s">
        <v>318</v>
      </c>
      <c r="D134" s="2">
        <v>33</v>
      </c>
      <c r="E134" s="21"/>
      <c r="F134" s="2">
        <f t="shared" si="5"/>
        <v>0</v>
      </c>
      <c r="G134" s="3" t="str">
        <f>HYPERLINK("http://tmmp-catalog.com.ua/katalog/9/13097/","фото")</f>
        <v>фото</v>
      </c>
      <c r="H134" s="22"/>
    </row>
    <row r="135" spans="1:8" ht="15" x14ac:dyDescent="0.2">
      <c r="A135" s="18">
        <v>2000000029559</v>
      </c>
      <c r="B135" s="19" t="s">
        <v>319</v>
      </c>
      <c r="C135" s="20" t="s">
        <v>320</v>
      </c>
      <c r="D135" s="2">
        <v>11</v>
      </c>
      <c r="E135" s="21"/>
      <c r="F135" s="2">
        <f t="shared" si="5"/>
        <v>0</v>
      </c>
      <c r="G135" s="3" t="str">
        <f>HYPERLINK("http://tmmp-catalog.com.ua/katalog/8/13154/","фото")</f>
        <v>фото</v>
      </c>
      <c r="H135" s="22"/>
    </row>
    <row r="136" spans="1:8" ht="15" x14ac:dyDescent="0.2">
      <c r="A136" s="18">
        <v>2000000034799</v>
      </c>
      <c r="B136" s="19" t="s">
        <v>321</v>
      </c>
      <c r="C136" s="20" t="s">
        <v>322</v>
      </c>
      <c r="D136" s="2">
        <v>27</v>
      </c>
      <c r="E136" s="21"/>
      <c r="F136" s="2">
        <f t="shared" si="5"/>
        <v>0</v>
      </c>
      <c r="G136" s="3" t="str">
        <f>HYPERLINK("http://tmmp-catalog.com.ua/katalog/9/13098/","фото")</f>
        <v>фото</v>
      </c>
      <c r="H136" s="22"/>
    </row>
    <row r="137" spans="1:8" ht="15" x14ac:dyDescent="0.2">
      <c r="A137" s="18">
        <v>2000000034805</v>
      </c>
      <c r="B137" s="19" t="s">
        <v>323</v>
      </c>
      <c r="C137" s="20" t="s">
        <v>324</v>
      </c>
      <c r="D137" s="2">
        <v>27</v>
      </c>
      <c r="E137" s="21"/>
      <c r="F137" s="2">
        <f t="shared" si="5"/>
        <v>0</v>
      </c>
      <c r="G137" s="3" t="str">
        <f>HYPERLINK("http://tmmp-catalog.com.ua/katalog/9/13099/","фото")</f>
        <v>фото</v>
      </c>
      <c r="H137" s="22"/>
    </row>
    <row r="138" spans="1:8" ht="15" x14ac:dyDescent="0.2">
      <c r="A138" s="18">
        <v>2000000034812</v>
      </c>
      <c r="B138" s="19" t="s">
        <v>325</v>
      </c>
      <c r="C138" s="20" t="s">
        <v>326</v>
      </c>
      <c r="D138" s="2">
        <v>27</v>
      </c>
      <c r="E138" s="21"/>
      <c r="F138" s="2">
        <f t="shared" si="5"/>
        <v>0</v>
      </c>
      <c r="G138" s="3" t="str">
        <f>HYPERLINK("http://tmmp-catalog.com.ua/katalog/9/13100/","фото")</f>
        <v>фото</v>
      </c>
      <c r="H138" s="22"/>
    </row>
    <row r="139" spans="1:8" ht="15" x14ac:dyDescent="0.2">
      <c r="A139" s="18">
        <v>2000000029566</v>
      </c>
      <c r="B139" s="19" t="s">
        <v>327</v>
      </c>
      <c r="C139" s="20" t="s">
        <v>328</v>
      </c>
      <c r="D139" s="2">
        <v>24</v>
      </c>
      <c r="E139" s="21"/>
      <c r="F139" s="2">
        <f t="shared" si="5"/>
        <v>0</v>
      </c>
      <c r="G139" s="3" t="str">
        <f>HYPERLINK("http://tmmp-catalog.com.ua/katalog/8/13155/","фото")</f>
        <v>фото</v>
      </c>
      <c r="H139" s="22"/>
    </row>
    <row r="140" spans="1:8" ht="15" x14ac:dyDescent="0.2">
      <c r="A140" s="18">
        <v>2000000029573</v>
      </c>
      <c r="B140" s="19" t="s">
        <v>329</v>
      </c>
      <c r="C140" s="20" t="s">
        <v>330</v>
      </c>
      <c r="D140" s="2">
        <v>24</v>
      </c>
      <c r="E140" s="21"/>
      <c r="F140" s="2">
        <f t="shared" si="5"/>
        <v>0</v>
      </c>
      <c r="G140" s="3" t="str">
        <f>HYPERLINK("http://tmmp-catalog.com.ua/katalog/8/13156/","фото")</f>
        <v>фото</v>
      </c>
      <c r="H140" s="22"/>
    </row>
    <row r="141" spans="1:8" ht="15" x14ac:dyDescent="0.2">
      <c r="A141" s="18">
        <v>2000000029580</v>
      </c>
      <c r="B141" s="19" t="s">
        <v>331</v>
      </c>
      <c r="C141" s="20" t="s">
        <v>332</v>
      </c>
      <c r="D141" s="2">
        <v>24</v>
      </c>
      <c r="E141" s="21"/>
      <c r="F141" s="2">
        <f t="shared" si="5"/>
        <v>0</v>
      </c>
      <c r="G141" s="3" t="str">
        <f>HYPERLINK("http://tmmp-catalog.com.ua/katalog/8/13157/","фото")</f>
        <v>фото</v>
      </c>
      <c r="H141" s="22"/>
    </row>
    <row r="142" spans="1:8" ht="15" x14ac:dyDescent="0.2">
      <c r="A142" s="18">
        <v>2000000029597</v>
      </c>
      <c r="B142" s="19" t="s">
        <v>333</v>
      </c>
      <c r="C142" s="20" t="s">
        <v>334</v>
      </c>
      <c r="D142" s="2">
        <v>0.35</v>
      </c>
      <c r="E142" s="21"/>
      <c r="F142" s="2">
        <f t="shared" si="5"/>
        <v>0</v>
      </c>
      <c r="G142" s="3" t="str">
        <f>HYPERLINK("http://tmmp-catalog.com.ua/katalog/8/13158/","фото")</f>
        <v>фото</v>
      </c>
      <c r="H142" s="22"/>
    </row>
    <row r="143" spans="1:8" ht="15" x14ac:dyDescent="0.2">
      <c r="A143" s="18">
        <v>2000000029610</v>
      </c>
      <c r="B143" s="19" t="s">
        <v>335</v>
      </c>
      <c r="C143" s="20" t="s">
        <v>336</v>
      </c>
      <c r="D143" s="2">
        <v>0.4</v>
      </c>
      <c r="E143" s="21"/>
      <c r="F143" s="2">
        <f t="shared" si="5"/>
        <v>0</v>
      </c>
      <c r="G143" s="3" t="str">
        <f>HYPERLINK("http://tmmp-catalog.com.ua/katalog/8/13160/","фото")</f>
        <v>фото</v>
      </c>
      <c r="H143" s="22"/>
    </row>
    <row r="144" spans="1:8" ht="15" x14ac:dyDescent="0.2">
      <c r="A144" s="18">
        <v>2000000029634</v>
      </c>
      <c r="B144" s="19" t="s">
        <v>337</v>
      </c>
      <c r="C144" s="20" t="s">
        <v>338</v>
      </c>
      <c r="D144" s="2">
        <v>2.2999999999999998</v>
      </c>
      <c r="E144" s="21"/>
      <c r="F144" s="2">
        <f t="shared" si="5"/>
        <v>0</v>
      </c>
      <c r="G144" s="3" t="str">
        <f>HYPERLINK("http://tmmp-catalog.com.ua/katalog/8/13162/","фото")</f>
        <v>фото</v>
      </c>
      <c r="H144" s="22"/>
    </row>
    <row r="145" spans="1:8" ht="15" x14ac:dyDescent="0.2">
      <c r="A145" s="18">
        <v>2000000029641</v>
      </c>
      <c r="B145" s="19" t="s">
        <v>339</v>
      </c>
      <c r="C145" s="20" t="s">
        <v>340</v>
      </c>
      <c r="D145" s="2">
        <v>1.4</v>
      </c>
      <c r="E145" s="21"/>
      <c r="F145" s="2">
        <f t="shared" si="5"/>
        <v>0</v>
      </c>
      <c r="G145" s="3" t="str">
        <f>HYPERLINK("http://tmmp-catalog.com.ua/katalog/8/13163/","фото")</f>
        <v>фото</v>
      </c>
      <c r="H145" s="22"/>
    </row>
    <row r="146" spans="1:8" ht="15" x14ac:dyDescent="0.2">
      <c r="A146" s="18">
        <v>2000000002132</v>
      </c>
      <c r="B146" s="19" t="s">
        <v>341</v>
      </c>
      <c r="C146" s="20" t="s">
        <v>342</v>
      </c>
      <c r="D146" s="2">
        <v>2.2999999999999998</v>
      </c>
      <c r="E146" s="21"/>
      <c r="F146" s="2">
        <f t="shared" si="5"/>
        <v>0</v>
      </c>
      <c r="G146" s="3" t="str">
        <f>HYPERLINK("http://tmmp-catalog.com.ua/katalog/10/14561/","фото")</f>
        <v>фото</v>
      </c>
      <c r="H146" s="22"/>
    </row>
    <row r="147" spans="1:8" ht="15" x14ac:dyDescent="0.2">
      <c r="A147" s="18">
        <v>2000000029665</v>
      </c>
      <c r="B147" s="19" t="s">
        <v>343</v>
      </c>
      <c r="C147" s="20" t="s">
        <v>344</v>
      </c>
      <c r="D147" s="2">
        <v>43</v>
      </c>
      <c r="E147" s="21"/>
      <c r="F147" s="2">
        <f t="shared" si="5"/>
        <v>0</v>
      </c>
      <c r="G147" s="3" t="str">
        <f>HYPERLINK("http://tmmp-catalog.com.ua/katalog/8/13165/","фото")</f>
        <v>фото</v>
      </c>
      <c r="H147" s="22"/>
    </row>
    <row r="148" spans="1:8" ht="15" x14ac:dyDescent="0.2">
      <c r="A148" s="18">
        <v>2000000029689</v>
      </c>
      <c r="B148" s="19" t="s">
        <v>345</v>
      </c>
      <c r="C148" s="20" t="s">
        <v>346</v>
      </c>
      <c r="D148" s="2">
        <v>1.5</v>
      </c>
      <c r="E148" s="21"/>
      <c r="F148" s="2">
        <f t="shared" si="5"/>
        <v>0</v>
      </c>
      <c r="G148" s="3" t="str">
        <f>HYPERLINK("http://tmmp-catalog.com.ua/katalog/8/13167/","фото")</f>
        <v>фото</v>
      </c>
      <c r="H148" s="22"/>
    </row>
    <row r="149" spans="1:8" ht="15" x14ac:dyDescent="0.2">
      <c r="A149" s="18">
        <v>2000000029702</v>
      </c>
      <c r="B149" s="19" t="s">
        <v>347</v>
      </c>
      <c r="C149" s="20" t="s">
        <v>348</v>
      </c>
      <c r="D149" s="2">
        <v>0.2</v>
      </c>
      <c r="E149" s="21"/>
      <c r="F149" s="2">
        <f t="shared" si="5"/>
        <v>0</v>
      </c>
      <c r="G149" s="3" t="str">
        <f>HYPERLINK("http://tmmp-catalog.com.ua/katalog/8/13169/","фото")</f>
        <v>фото</v>
      </c>
      <c r="H149" s="22"/>
    </row>
    <row r="150" spans="1:8" ht="15" x14ac:dyDescent="0.2">
      <c r="A150" s="18">
        <v>2000000029719</v>
      </c>
      <c r="B150" s="19" t="s">
        <v>349</v>
      </c>
      <c r="C150" s="20" t="s">
        <v>350</v>
      </c>
      <c r="D150" s="2">
        <v>0.45</v>
      </c>
      <c r="E150" s="21"/>
      <c r="F150" s="2">
        <f t="shared" si="5"/>
        <v>0</v>
      </c>
      <c r="G150" s="3" t="str">
        <f>HYPERLINK("http://tmmp-catalog.com.ua/katalog/8/13170/","фото")</f>
        <v>фото</v>
      </c>
      <c r="H150" s="22"/>
    </row>
    <row r="151" spans="1:8" ht="15" x14ac:dyDescent="0.2">
      <c r="A151" s="18">
        <v>2000000029726</v>
      </c>
      <c r="B151" s="19" t="s">
        <v>351</v>
      </c>
      <c r="C151" s="20" t="s">
        <v>352</v>
      </c>
      <c r="D151" s="2">
        <v>1.1000000000000001</v>
      </c>
      <c r="E151" s="21"/>
      <c r="F151" s="2">
        <f t="shared" si="5"/>
        <v>0</v>
      </c>
      <c r="G151" s="3" t="str">
        <f>HYPERLINK("http://tmmp-catalog.com.ua/katalog/8/13171/","фото")</f>
        <v>фото</v>
      </c>
      <c r="H151" s="22"/>
    </row>
    <row r="152" spans="1:8" ht="15" x14ac:dyDescent="0.2">
      <c r="A152" s="18">
        <v>2000000029757</v>
      </c>
      <c r="B152" s="19" t="s">
        <v>353</v>
      </c>
      <c r="C152" s="20" t="s">
        <v>354</v>
      </c>
      <c r="D152" s="2">
        <v>0.6</v>
      </c>
      <c r="E152" s="21"/>
      <c r="F152" s="2">
        <f t="shared" si="5"/>
        <v>0</v>
      </c>
      <c r="G152" s="3" t="str">
        <f>HYPERLINK("http://tmmp-catalog.com.ua/katalog/8/13174/","фото")</f>
        <v>фото</v>
      </c>
      <c r="H152" s="22"/>
    </row>
    <row r="153" spans="1:8" ht="15" x14ac:dyDescent="0.2">
      <c r="A153" s="18">
        <v>2000000029740</v>
      </c>
      <c r="B153" s="19" t="s">
        <v>355</v>
      </c>
      <c r="C153" s="20" t="s">
        <v>356</v>
      </c>
      <c r="D153" s="2">
        <v>0.3</v>
      </c>
      <c r="E153" s="21"/>
      <c r="F153" s="2">
        <f t="shared" si="5"/>
        <v>0</v>
      </c>
      <c r="G153" s="3" t="str">
        <f>HYPERLINK("http://tmmp-catalog.com.ua/katalog/8/13173/","фото")</f>
        <v>фото</v>
      </c>
      <c r="H153" s="22"/>
    </row>
    <row r="154" spans="1:8" ht="15" x14ac:dyDescent="0.2">
      <c r="A154" s="18">
        <v>2000000029764</v>
      </c>
      <c r="B154" s="19" t="s">
        <v>357</v>
      </c>
      <c r="C154" s="20" t="s">
        <v>358</v>
      </c>
      <c r="D154" s="2">
        <v>7.5</v>
      </c>
      <c r="E154" s="21"/>
      <c r="F154" s="2">
        <f t="shared" si="5"/>
        <v>0</v>
      </c>
      <c r="G154" s="3" t="str">
        <f>HYPERLINK("http://tmmp-catalog.com.ua/katalog/8/13175/","фото")</f>
        <v>фото</v>
      </c>
      <c r="H154" s="22"/>
    </row>
    <row r="155" spans="1:8" ht="15" x14ac:dyDescent="0.2">
      <c r="A155" s="18">
        <v>2000000034836</v>
      </c>
      <c r="B155" s="19" t="s">
        <v>359</v>
      </c>
      <c r="C155" s="20" t="s">
        <v>360</v>
      </c>
      <c r="D155" s="2">
        <v>8</v>
      </c>
      <c r="E155" s="21"/>
      <c r="F155" s="2">
        <f t="shared" si="5"/>
        <v>0</v>
      </c>
      <c r="G155" s="3" t="str">
        <f>HYPERLINK("http://tmmp-catalog.com.ua/katalog/9/13102/","фото")</f>
        <v>фото</v>
      </c>
      <c r="H155" s="22"/>
    </row>
    <row r="156" spans="1:8" ht="15" x14ac:dyDescent="0.2">
      <c r="A156" s="18">
        <v>2000000033877</v>
      </c>
      <c r="B156" s="19" t="s">
        <v>361</v>
      </c>
      <c r="C156" s="20" t="s">
        <v>362</v>
      </c>
      <c r="D156" s="2">
        <v>3.5</v>
      </c>
      <c r="E156" s="21"/>
      <c r="F156" s="2">
        <f t="shared" si="5"/>
        <v>0</v>
      </c>
      <c r="G156" s="3" t="str">
        <f>HYPERLINK("http://tmmp-catalog.com.ua/katalog/8/16565/","фото")</f>
        <v>фото</v>
      </c>
      <c r="H156" s="22"/>
    </row>
    <row r="157" spans="1:8" ht="15" x14ac:dyDescent="0.2">
      <c r="A157" s="18">
        <v>2000000029788</v>
      </c>
      <c r="B157" s="19" t="s">
        <v>363</v>
      </c>
      <c r="C157" s="20" t="s">
        <v>364</v>
      </c>
      <c r="D157" s="2">
        <v>0.1</v>
      </c>
      <c r="E157" s="21"/>
      <c r="F157" s="2">
        <f t="shared" si="5"/>
        <v>0</v>
      </c>
      <c r="G157" s="3" t="str">
        <f>HYPERLINK("http://tmmp-catalog.com.ua/katalog/8/13177/","фото")</f>
        <v>фото</v>
      </c>
      <c r="H157" s="22"/>
    </row>
    <row r="158" spans="1:8" ht="15" x14ac:dyDescent="0.2">
      <c r="A158" s="18">
        <v>2000000029795</v>
      </c>
      <c r="B158" s="19" t="s">
        <v>365</v>
      </c>
      <c r="C158" s="20" t="s">
        <v>366</v>
      </c>
      <c r="D158" s="2">
        <v>16</v>
      </c>
      <c r="E158" s="21"/>
      <c r="F158" s="2">
        <f t="shared" si="5"/>
        <v>0</v>
      </c>
      <c r="G158" s="3" t="str">
        <f>HYPERLINK("http://tmmp-catalog.com.ua/katalog/8/13178/","фото")</f>
        <v>фото</v>
      </c>
      <c r="H158" s="22"/>
    </row>
    <row r="159" spans="1:8" ht="15" x14ac:dyDescent="0.2">
      <c r="A159" s="18">
        <v>2000000002156</v>
      </c>
      <c r="B159" s="19" t="s">
        <v>367</v>
      </c>
      <c r="C159" s="20" t="s">
        <v>368</v>
      </c>
      <c r="D159" s="2">
        <v>15.5</v>
      </c>
      <c r="E159" s="21"/>
      <c r="F159" s="2">
        <f t="shared" si="5"/>
        <v>0</v>
      </c>
      <c r="G159" s="3" t="str">
        <f>HYPERLINK("http://tmmp-catalog.com.ua/katalog/10/14564/","фото")</f>
        <v>фото</v>
      </c>
      <c r="H159" s="22"/>
    </row>
    <row r="160" spans="1:8" ht="15" x14ac:dyDescent="0.2">
      <c r="A160" s="18">
        <v>2000000034133</v>
      </c>
      <c r="B160" s="19" t="s">
        <v>369</v>
      </c>
      <c r="C160" s="20" t="s">
        <v>370</v>
      </c>
      <c r="D160" s="2">
        <v>28</v>
      </c>
      <c r="E160" s="21"/>
      <c r="F160" s="2">
        <f t="shared" si="5"/>
        <v>0</v>
      </c>
      <c r="G160" s="3" t="str">
        <f>HYPERLINK("http://tmmp-catalog.com.ua/katalog/8/16934/","фото")</f>
        <v>фото</v>
      </c>
      <c r="H160" s="22"/>
    </row>
    <row r="161" spans="1:8" ht="15" x14ac:dyDescent="0.2">
      <c r="A161" s="18">
        <v>2000000034140</v>
      </c>
      <c r="B161" s="19" t="s">
        <v>371</v>
      </c>
      <c r="C161" s="20" t="s">
        <v>372</v>
      </c>
      <c r="D161" s="2">
        <v>33</v>
      </c>
      <c r="E161" s="21"/>
      <c r="F161" s="2">
        <f t="shared" si="5"/>
        <v>0</v>
      </c>
      <c r="G161" s="3" t="str">
        <f>HYPERLINK("http://tmmp-catalog.com.ua/katalog/8/16935/","фото")</f>
        <v>фото</v>
      </c>
      <c r="H161" s="22"/>
    </row>
    <row r="162" spans="1:8" ht="15" x14ac:dyDescent="0.2">
      <c r="A162" s="18">
        <v>2000000029856</v>
      </c>
      <c r="B162" s="19" t="s">
        <v>373</v>
      </c>
      <c r="C162" s="20" t="s">
        <v>374</v>
      </c>
      <c r="D162" s="2">
        <v>0.7</v>
      </c>
      <c r="E162" s="21"/>
      <c r="F162" s="2">
        <f t="shared" si="5"/>
        <v>0</v>
      </c>
      <c r="G162" s="3" t="str">
        <f>HYPERLINK("http://tmmp-catalog.com.ua/katalog/8/13184/","фото")</f>
        <v>фото</v>
      </c>
      <c r="H162" s="22"/>
    </row>
    <row r="163" spans="1:8" ht="15" x14ac:dyDescent="0.2">
      <c r="A163" s="18"/>
      <c r="B163" s="19" t="s">
        <v>375</v>
      </c>
      <c r="C163" s="20" t="s">
        <v>376</v>
      </c>
      <c r="D163" s="2">
        <v>2.5</v>
      </c>
      <c r="E163" s="21"/>
      <c r="F163" s="2">
        <f t="shared" si="5"/>
        <v>0</v>
      </c>
      <c r="G163" s="3" t="str">
        <f>HYPERLINK("http://tmmp-catalog.com.ua/katalog/10/17697/","фото")</f>
        <v>фото</v>
      </c>
      <c r="H163" s="22"/>
    </row>
    <row r="164" spans="1:8" ht="15" x14ac:dyDescent="0.2">
      <c r="A164" s="18">
        <v>2000000029863</v>
      </c>
      <c r="B164" s="19" t="s">
        <v>377</v>
      </c>
      <c r="C164" s="20" t="s">
        <v>378</v>
      </c>
      <c r="D164" s="2">
        <v>0.75</v>
      </c>
      <c r="E164" s="21"/>
      <c r="F164" s="2">
        <f t="shared" si="5"/>
        <v>0</v>
      </c>
      <c r="G164" s="3" t="str">
        <f>HYPERLINK("http://tmmp-catalog.com.ua/katalog/8/13185/","фото")</f>
        <v>фото</v>
      </c>
      <c r="H164" s="22"/>
    </row>
    <row r="165" spans="1:8" ht="15" x14ac:dyDescent="0.2">
      <c r="A165" s="18"/>
      <c r="B165" s="19" t="s">
        <v>379</v>
      </c>
      <c r="C165" s="20" t="s">
        <v>380</v>
      </c>
      <c r="D165" s="2">
        <v>175</v>
      </c>
      <c r="E165" s="21"/>
      <c r="F165" s="2">
        <f t="shared" si="5"/>
        <v>0</v>
      </c>
      <c r="G165" s="3"/>
      <c r="H165" s="22"/>
    </row>
    <row r="166" spans="1:8" ht="15" x14ac:dyDescent="0.2">
      <c r="A166" s="18"/>
      <c r="B166" s="19" t="s">
        <v>381</v>
      </c>
      <c r="C166" s="20" t="s">
        <v>382</v>
      </c>
      <c r="D166" s="2">
        <v>170</v>
      </c>
      <c r="E166" s="21"/>
      <c r="F166" s="2">
        <f t="shared" si="5"/>
        <v>0</v>
      </c>
      <c r="G166" s="3"/>
      <c r="H166" s="22"/>
    </row>
    <row r="167" spans="1:8" ht="15" x14ac:dyDescent="0.2">
      <c r="A167" s="18">
        <v>2000000029887</v>
      </c>
      <c r="B167" s="19" t="s">
        <v>383</v>
      </c>
      <c r="C167" s="20" t="s">
        <v>384</v>
      </c>
      <c r="D167" s="2">
        <v>175</v>
      </c>
      <c r="E167" s="21"/>
      <c r="F167" s="2">
        <f t="shared" si="5"/>
        <v>0</v>
      </c>
      <c r="G167" s="3" t="str">
        <f>HYPERLINK("http://tmmp-catalog.com.ua/katalog/8/13187/","фото")</f>
        <v>фото</v>
      </c>
      <c r="H167" s="22"/>
    </row>
    <row r="168" spans="1:8" ht="15" x14ac:dyDescent="0.2">
      <c r="A168" s="18"/>
      <c r="B168" s="19" t="s">
        <v>385</v>
      </c>
      <c r="C168" s="20" t="s">
        <v>386</v>
      </c>
      <c r="D168" s="2">
        <v>155</v>
      </c>
      <c r="E168" s="21"/>
      <c r="F168" s="2">
        <f t="shared" si="5"/>
        <v>0</v>
      </c>
      <c r="G168" s="3" t="str">
        <f>HYPERLINK("http://tmmp-catalog.com.ua/katalog/8/17792/","фото")</f>
        <v>фото</v>
      </c>
      <c r="H168" s="22"/>
    </row>
    <row r="169" spans="1:8" ht="15" x14ac:dyDescent="0.2">
      <c r="A169" s="18">
        <v>2000000029894</v>
      </c>
      <c r="B169" s="19" t="s">
        <v>387</v>
      </c>
      <c r="C169" s="20" t="s">
        <v>388</v>
      </c>
      <c r="D169" s="2">
        <v>170</v>
      </c>
      <c r="E169" s="21"/>
      <c r="F169" s="2">
        <f t="shared" si="5"/>
        <v>0</v>
      </c>
      <c r="G169" s="3" t="str">
        <f>HYPERLINK("http://tmmp-catalog.com.ua/katalog/8/13188/","фото")</f>
        <v>фото</v>
      </c>
      <c r="H169" s="22"/>
    </row>
    <row r="170" spans="1:8" ht="15" x14ac:dyDescent="0.2">
      <c r="A170" s="18"/>
      <c r="B170" s="19" t="s">
        <v>389</v>
      </c>
      <c r="C170" s="20" t="s">
        <v>390</v>
      </c>
      <c r="D170" s="2">
        <v>175</v>
      </c>
      <c r="E170" s="21"/>
      <c r="F170" s="2">
        <f t="shared" si="5"/>
        <v>0</v>
      </c>
      <c r="G170" s="3" t="str">
        <f>HYPERLINK("http://tmmp-catalog.com.ua/katalog/37/18598/","фото")</f>
        <v>фото</v>
      </c>
      <c r="H170" s="22"/>
    </row>
    <row r="171" spans="1:8" ht="15" x14ac:dyDescent="0.2">
      <c r="A171" s="18">
        <v>2000000029917</v>
      </c>
      <c r="B171" s="19" t="s">
        <v>391</v>
      </c>
      <c r="C171" s="20" t="s">
        <v>392</v>
      </c>
      <c r="D171" s="2">
        <v>160</v>
      </c>
      <c r="E171" s="21"/>
      <c r="F171" s="2">
        <f t="shared" si="5"/>
        <v>0</v>
      </c>
      <c r="G171" s="3" t="str">
        <f>HYPERLINK("http://tmmp-catalog.com.ua/katalog/8/13190/","фото")</f>
        <v>фото</v>
      </c>
      <c r="H171" s="22"/>
    </row>
    <row r="172" spans="1:8" ht="15" x14ac:dyDescent="0.2">
      <c r="A172" s="18">
        <v>2000000029900</v>
      </c>
      <c r="B172" s="19" t="s">
        <v>393</v>
      </c>
      <c r="C172" s="20" t="s">
        <v>394</v>
      </c>
      <c r="D172" s="2">
        <v>175</v>
      </c>
      <c r="E172" s="21"/>
      <c r="F172" s="2">
        <f t="shared" si="5"/>
        <v>0</v>
      </c>
      <c r="G172" s="3" t="str">
        <f>HYPERLINK("http://tmmp-catalog.com.ua/katalog/8/13189/","фото")</f>
        <v>фото</v>
      </c>
      <c r="H172" s="22"/>
    </row>
    <row r="173" spans="1:8" ht="15" x14ac:dyDescent="0.2">
      <c r="A173" s="18">
        <v>2000000029924</v>
      </c>
      <c r="B173" s="19" t="s">
        <v>395</v>
      </c>
      <c r="C173" s="20" t="s">
        <v>396</v>
      </c>
      <c r="D173" s="2">
        <v>180</v>
      </c>
      <c r="E173" s="21"/>
      <c r="F173" s="2">
        <f t="shared" si="5"/>
        <v>0</v>
      </c>
      <c r="G173" s="3" t="str">
        <f>HYPERLINK("http://tmmp-catalog.com.ua/katalog/8/13191/","фото")</f>
        <v>фото</v>
      </c>
      <c r="H173" s="22"/>
    </row>
    <row r="174" spans="1:8" ht="15" x14ac:dyDescent="0.2">
      <c r="A174" s="18">
        <v>2000000029993</v>
      </c>
      <c r="B174" s="19" t="s">
        <v>397</v>
      </c>
      <c r="C174" s="20" t="s">
        <v>398</v>
      </c>
      <c r="D174" s="2">
        <v>170</v>
      </c>
      <c r="E174" s="21"/>
      <c r="F174" s="2">
        <f t="shared" si="5"/>
        <v>0</v>
      </c>
      <c r="G174" s="3" t="str">
        <f>HYPERLINK("http://tmmp-catalog.com.ua/katalog/8/13198/","фото")</f>
        <v>фото</v>
      </c>
      <c r="H174" s="22"/>
    </row>
    <row r="175" spans="1:8" ht="15" x14ac:dyDescent="0.2">
      <c r="A175" s="18">
        <v>2000000029931</v>
      </c>
      <c r="B175" s="19" t="s">
        <v>399</v>
      </c>
      <c r="C175" s="20" t="s">
        <v>400</v>
      </c>
      <c r="D175" s="2">
        <v>170</v>
      </c>
      <c r="E175" s="21"/>
      <c r="F175" s="2">
        <f t="shared" si="5"/>
        <v>0</v>
      </c>
      <c r="G175" s="3" t="str">
        <f>HYPERLINK("http://tmmp-catalog.com.ua/katalog/8/13192/","фото")</f>
        <v>фото</v>
      </c>
      <c r="H175" s="22"/>
    </row>
    <row r="176" spans="1:8" ht="15" x14ac:dyDescent="0.2">
      <c r="A176" s="18">
        <v>2000000029979</v>
      </c>
      <c r="B176" s="19" t="s">
        <v>401</v>
      </c>
      <c r="C176" s="20" t="s">
        <v>402</v>
      </c>
      <c r="D176" s="2">
        <v>220</v>
      </c>
      <c r="E176" s="21"/>
      <c r="F176" s="2">
        <f t="shared" si="5"/>
        <v>0</v>
      </c>
      <c r="G176" s="3" t="str">
        <f>HYPERLINK("http://tmmp-catalog.com.ua/katalog/8/13196/","фото")</f>
        <v>фото</v>
      </c>
      <c r="H176" s="22"/>
    </row>
    <row r="177" spans="1:8" ht="15" x14ac:dyDescent="0.2">
      <c r="A177" s="18">
        <v>2000000029962</v>
      </c>
      <c r="B177" s="19" t="s">
        <v>403</v>
      </c>
      <c r="C177" s="20" t="s">
        <v>404</v>
      </c>
      <c r="D177" s="2">
        <v>170</v>
      </c>
      <c r="E177" s="21"/>
      <c r="F177" s="2">
        <f t="shared" si="5"/>
        <v>0</v>
      </c>
      <c r="G177" s="3" t="str">
        <f>HYPERLINK("http://tmmp-catalog.com.ua/katalog/8/13195/","фото")</f>
        <v>фото</v>
      </c>
      <c r="H177" s="22"/>
    </row>
    <row r="178" spans="1:8" ht="15" x14ac:dyDescent="0.2">
      <c r="A178" s="18">
        <v>2000000029986</v>
      </c>
      <c r="B178" s="19" t="s">
        <v>405</v>
      </c>
      <c r="C178" s="20" t="s">
        <v>406</v>
      </c>
      <c r="D178" s="2">
        <v>190</v>
      </c>
      <c r="E178" s="21"/>
      <c r="F178" s="2">
        <f t="shared" si="5"/>
        <v>0</v>
      </c>
      <c r="G178" s="3" t="str">
        <f>HYPERLINK("http://tmmp-catalog.com.ua/katalog/8/13197/","фото")</f>
        <v>фото</v>
      </c>
      <c r="H178" s="22"/>
    </row>
    <row r="179" spans="1:8" ht="15" x14ac:dyDescent="0.2">
      <c r="A179" s="18">
        <v>2000000029870</v>
      </c>
      <c r="B179" s="19" t="s">
        <v>407</v>
      </c>
      <c r="C179" s="20" t="s">
        <v>408</v>
      </c>
      <c r="D179" s="2">
        <v>160</v>
      </c>
      <c r="E179" s="21"/>
      <c r="F179" s="2">
        <f t="shared" si="5"/>
        <v>0</v>
      </c>
      <c r="G179" s="3" t="str">
        <f>HYPERLINK("http://tmmp-catalog.com.ua/katalog/8/13186/","фото")</f>
        <v>фото</v>
      </c>
      <c r="H179" s="22"/>
    </row>
    <row r="180" spans="1:8" ht="15" x14ac:dyDescent="0.2">
      <c r="A180" s="18"/>
      <c r="B180" s="19" t="s">
        <v>409</v>
      </c>
      <c r="C180" s="20" t="s">
        <v>410</v>
      </c>
      <c r="D180" s="2">
        <v>5.8</v>
      </c>
      <c r="E180" s="21"/>
      <c r="F180" s="2">
        <f t="shared" si="5"/>
        <v>0</v>
      </c>
      <c r="G180" s="3"/>
      <c r="H180" s="22"/>
    </row>
    <row r="181" spans="1:8" ht="15" x14ac:dyDescent="0.2">
      <c r="A181" s="18">
        <v>2000000030036</v>
      </c>
      <c r="B181" s="19" t="s">
        <v>411</v>
      </c>
      <c r="C181" s="20" t="s">
        <v>412</v>
      </c>
      <c r="D181" s="2">
        <v>2.2999999999999998</v>
      </c>
      <c r="E181" s="21"/>
      <c r="F181" s="2">
        <f t="shared" si="5"/>
        <v>0</v>
      </c>
      <c r="G181" s="3" t="str">
        <f>HYPERLINK("http://tmmp-catalog.com.ua/katalog/8/13202/","фото")</f>
        <v>фото</v>
      </c>
      <c r="H181" s="22"/>
    </row>
    <row r="182" spans="1:8" ht="15" x14ac:dyDescent="0.2">
      <c r="A182" s="18">
        <v>2000000030067</v>
      </c>
      <c r="B182" s="19" t="s">
        <v>413</v>
      </c>
      <c r="C182" s="20" t="s">
        <v>414</v>
      </c>
      <c r="D182" s="2">
        <v>0.5</v>
      </c>
      <c r="E182" s="21"/>
      <c r="F182" s="2">
        <f t="shared" si="5"/>
        <v>0</v>
      </c>
      <c r="G182" s="3" t="str">
        <f>HYPERLINK("http://tmmp-catalog.com.ua/katalog/8/13205/","фото")</f>
        <v>фото</v>
      </c>
      <c r="H182" s="22"/>
    </row>
    <row r="183" spans="1:8" ht="15" x14ac:dyDescent="0.2">
      <c r="A183" s="18">
        <v>2000000030043</v>
      </c>
      <c r="B183" s="19" t="s">
        <v>415</v>
      </c>
      <c r="C183" s="20" t="s">
        <v>416</v>
      </c>
      <c r="D183" s="2">
        <v>0.65</v>
      </c>
      <c r="E183" s="21"/>
      <c r="F183" s="2">
        <f t="shared" si="5"/>
        <v>0</v>
      </c>
      <c r="G183" s="3" t="str">
        <f>HYPERLINK("http://tmmp-catalog.com.ua/katalog/8/13203/","фото")</f>
        <v>фото</v>
      </c>
      <c r="H183" s="22"/>
    </row>
    <row r="184" spans="1:8" ht="15" x14ac:dyDescent="0.2">
      <c r="A184" s="18"/>
      <c r="B184" s="19" t="s">
        <v>417</v>
      </c>
      <c r="C184" s="20" t="s">
        <v>418</v>
      </c>
      <c r="D184" s="2">
        <v>0.65</v>
      </c>
      <c r="E184" s="21"/>
      <c r="F184" s="2">
        <f t="shared" si="5"/>
        <v>0</v>
      </c>
      <c r="G184" s="3" t="str">
        <f>HYPERLINK("http://tmmp-catalog.com.ua/katalog/8/17324/","фото")</f>
        <v>фото</v>
      </c>
      <c r="H184" s="22"/>
    </row>
    <row r="185" spans="1:8" ht="15" x14ac:dyDescent="0.2">
      <c r="A185" s="18"/>
      <c r="B185" s="19" t="s">
        <v>419</v>
      </c>
      <c r="C185" s="20" t="s">
        <v>420</v>
      </c>
      <c r="D185" s="2">
        <v>0.65</v>
      </c>
      <c r="E185" s="21"/>
      <c r="F185" s="2">
        <f t="shared" ref="F185:F248" si="6">cena*zakaz</f>
        <v>0</v>
      </c>
      <c r="G185" s="3" t="str">
        <f>HYPERLINK("http://tmmp-catalog.com.ua/katalog/8/17323/","фото")</f>
        <v>фото</v>
      </c>
      <c r="H185" s="22"/>
    </row>
    <row r="186" spans="1:8" ht="15" x14ac:dyDescent="0.2">
      <c r="A186" s="18"/>
      <c r="B186" s="19" t="s">
        <v>421</v>
      </c>
      <c r="C186" s="20" t="s">
        <v>422</v>
      </c>
      <c r="D186" s="2">
        <v>48</v>
      </c>
      <c r="E186" s="21"/>
      <c r="F186" s="2">
        <f t="shared" si="6"/>
        <v>0</v>
      </c>
      <c r="G186" s="3" t="str">
        <f>HYPERLINK("http://tmmp-catalog.com.ua/katalog/8/17622/","фото")</f>
        <v>фото</v>
      </c>
      <c r="H186" s="22"/>
    </row>
    <row r="187" spans="1:8" ht="15" x14ac:dyDescent="0.2">
      <c r="A187" s="18">
        <v>2000000002170</v>
      </c>
      <c r="B187" s="19" t="s">
        <v>423</v>
      </c>
      <c r="C187" s="20" t="s">
        <v>424</v>
      </c>
      <c r="D187" s="2">
        <v>47</v>
      </c>
      <c r="E187" s="21"/>
      <c r="F187" s="2">
        <f t="shared" si="6"/>
        <v>0</v>
      </c>
      <c r="G187" s="3" t="str">
        <f>HYPERLINK("http://tmmp-catalog.com.ua/katalog/10/14566/","фото")</f>
        <v>фото</v>
      </c>
      <c r="H187" s="22"/>
    </row>
    <row r="188" spans="1:8" ht="15" x14ac:dyDescent="0.2">
      <c r="A188" s="18">
        <v>2000000030074</v>
      </c>
      <c r="B188" s="19" t="s">
        <v>425</v>
      </c>
      <c r="C188" s="20" t="s">
        <v>426</v>
      </c>
      <c r="D188" s="2">
        <v>44</v>
      </c>
      <c r="E188" s="21"/>
      <c r="F188" s="2">
        <f t="shared" si="6"/>
        <v>0</v>
      </c>
      <c r="G188" s="3" t="str">
        <f>HYPERLINK("http://tmmp-catalog.com.ua/katalog/8/13207/","фото")</f>
        <v>фото</v>
      </c>
      <c r="H188" s="22"/>
    </row>
    <row r="189" spans="1:8" ht="15" x14ac:dyDescent="0.2">
      <c r="A189" s="18">
        <v>2000000030098</v>
      </c>
      <c r="B189" s="19" t="s">
        <v>427</v>
      </c>
      <c r="C189" s="20" t="s">
        <v>428</v>
      </c>
      <c r="D189" s="2">
        <v>44</v>
      </c>
      <c r="E189" s="21"/>
      <c r="F189" s="2">
        <f t="shared" si="6"/>
        <v>0</v>
      </c>
      <c r="G189" s="3" t="str">
        <f>HYPERLINK("http://tmmp-catalog.com.ua/katalog/8/13210/","фото")</f>
        <v>фото</v>
      </c>
      <c r="H189" s="22"/>
    </row>
    <row r="190" spans="1:8" ht="15" x14ac:dyDescent="0.2">
      <c r="A190" s="18">
        <v>2000000030104</v>
      </c>
      <c r="B190" s="19" t="s">
        <v>429</v>
      </c>
      <c r="C190" s="20" t="s">
        <v>430</v>
      </c>
      <c r="D190" s="2">
        <v>45</v>
      </c>
      <c r="E190" s="21"/>
      <c r="F190" s="2">
        <f t="shared" si="6"/>
        <v>0</v>
      </c>
      <c r="G190" s="3" t="str">
        <f>HYPERLINK("http://tmmp-catalog.com.ua/katalog/8/13211/","фото")</f>
        <v>фото</v>
      </c>
      <c r="H190" s="22"/>
    </row>
    <row r="191" spans="1:8" ht="15" x14ac:dyDescent="0.2">
      <c r="A191" s="18"/>
      <c r="B191" s="19" t="s">
        <v>431</v>
      </c>
      <c r="C191" s="20" t="s">
        <v>432</v>
      </c>
      <c r="D191" s="2">
        <v>42</v>
      </c>
      <c r="E191" s="21"/>
      <c r="F191" s="2">
        <f t="shared" si="6"/>
        <v>0</v>
      </c>
      <c r="G191" s="3" t="str">
        <f>HYPERLINK("http://tmmp-catalog.com.ua/katalog/8/17621/","фото")</f>
        <v>фото</v>
      </c>
      <c r="H191" s="22"/>
    </row>
    <row r="192" spans="1:8" ht="15" x14ac:dyDescent="0.2">
      <c r="A192" s="18">
        <v>2000000030081</v>
      </c>
      <c r="B192" s="19" t="s">
        <v>433</v>
      </c>
      <c r="C192" s="20" t="s">
        <v>434</v>
      </c>
      <c r="D192" s="2">
        <v>37</v>
      </c>
      <c r="E192" s="21"/>
      <c r="F192" s="2">
        <f t="shared" si="6"/>
        <v>0</v>
      </c>
      <c r="G192" s="3" t="str">
        <f>HYPERLINK("http://tmmp-catalog.com.ua/katalog/8/13209/","фото")</f>
        <v>фото</v>
      </c>
      <c r="H192" s="22"/>
    </row>
    <row r="193" spans="1:8" ht="15" x14ac:dyDescent="0.2">
      <c r="A193" s="18">
        <v>2000000030111</v>
      </c>
      <c r="B193" s="19" t="s">
        <v>435</v>
      </c>
      <c r="C193" s="20" t="s">
        <v>436</v>
      </c>
      <c r="D193" s="2">
        <v>37</v>
      </c>
      <c r="E193" s="21"/>
      <c r="F193" s="2">
        <f t="shared" si="6"/>
        <v>0</v>
      </c>
      <c r="G193" s="3" t="str">
        <f>HYPERLINK("http://tmmp-catalog.com.ua/katalog/8/13212/","фото")</f>
        <v>фото</v>
      </c>
      <c r="H193" s="22"/>
    </row>
    <row r="194" spans="1:8" ht="15" x14ac:dyDescent="0.2">
      <c r="A194" s="18"/>
      <c r="B194" s="19" t="s">
        <v>437</v>
      </c>
      <c r="C194" s="20" t="s">
        <v>438</v>
      </c>
      <c r="D194" s="2">
        <v>23</v>
      </c>
      <c r="E194" s="21"/>
      <c r="F194" s="2">
        <f t="shared" si="6"/>
        <v>0</v>
      </c>
      <c r="G194" s="3" t="str">
        <f>HYPERLINK("http://tmmp-catalog.com.ua/katalog/8/17276/","фото")</f>
        <v>фото</v>
      </c>
      <c r="H194" s="22"/>
    </row>
    <row r="195" spans="1:8" ht="15" x14ac:dyDescent="0.2">
      <c r="A195" s="18">
        <v>2000000030135</v>
      </c>
      <c r="B195" s="19" t="s">
        <v>439</v>
      </c>
      <c r="C195" s="20" t="s">
        <v>440</v>
      </c>
      <c r="D195" s="2">
        <v>0.7</v>
      </c>
      <c r="E195" s="21"/>
      <c r="F195" s="2">
        <f t="shared" si="6"/>
        <v>0</v>
      </c>
      <c r="G195" s="3" t="str">
        <f>HYPERLINK("http://tmmp-catalog.com.ua/katalog/8/13214/","фото")</f>
        <v>фото</v>
      </c>
      <c r="H195" s="22"/>
    </row>
    <row r="196" spans="1:8" ht="15" x14ac:dyDescent="0.2">
      <c r="A196" s="18">
        <v>2000000030128</v>
      </c>
      <c r="B196" s="19" t="s">
        <v>441</v>
      </c>
      <c r="C196" s="20" t="s">
        <v>442</v>
      </c>
      <c r="D196" s="2">
        <v>1</v>
      </c>
      <c r="E196" s="21"/>
      <c r="F196" s="2">
        <f t="shared" si="6"/>
        <v>0</v>
      </c>
      <c r="G196" s="3" t="str">
        <f>HYPERLINK("http://tmmp-catalog.com.ua/katalog/8/13213/","фото")</f>
        <v>фото</v>
      </c>
      <c r="H196" s="22"/>
    </row>
    <row r="197" spans="1:8" ht="15" x14ac:dyDescent="0.2">
      <c r="A197" s="18">
        <v>2000000034874</v>
      </c>
      <c r="B197" s="19" t="s">
        <v>443</v>
      </c>
      <c r="C197" s="20" t="s">
        <v>444</v>
      </c>
      <c r="D197" s="2">
        <v>12.5</v>
      </c>
      <c r="E197" s="21"/>
      <c r="F197" s="2">
        <f t="shared" si="6"/>
        <v>0</v>
      </c>
      <c r="G197" s="3" t="str">
        <f>HYPERLINK("http://tmmp-catalog.com.ua/katalog/9/13106/","фото")</f>
        <v>фото</v>
      </c>
      <c r="H197" s="22"/>
    </row>
    <row r="198" spans="1:8" ht="15" x14ac:dyDescent="0.2">
      <c r="A198" s="18">
        <v>2000000002187</v>
      </c>
      <c r="B198" s="19" t="s">
        <v>445</v>
      </c>
      <c r="C198" s="20" t="s">
        <v>446</v>
      </c>
      <c r="D198" s="2">
        <v>6.8</v>
      </c>
      <c r="E198" s="21"/>
      <c r="F198" s="2">
        <f t="shared" si="6"/>
        <v>0</v>
      </c>
      <c r="G198" s="3" t="str">
        <f>HYPERLINK("http://tmmp-catalog.com.ua/katalog/10/14567/","фото")</f>
        <v>фото</v>
      </c>
      <c r="H198" s="22"/>
    </row>
    <row r="199" spans="1:8" ht="15" x14ac:dyDescent="0.2">
      <c r="A199" s="18">
        <v>2000000034881</v>
      </c>
      <c r="B199" s="19" t="s">
        <v>447</v>
      </c>
      <c r="C199" s="20" t="s">
        <v>448</v>
      </c>
      <c r="D199" s="2">
        <v>4.4000000000000004</v>
      </c>
      <c r="E199" s="21"/>
      <c r="F199" s="2">
        <f t="shared" si="6"/>
        <v>0</v>
      </c>
      <c r="G199" s="3" t="str">
        <f>HYPERLINK("http://tmmp-catalog.com.ua/katalog/9/13107/","фото")</f>
        <v>фото</v>
      </c>
      <c r="H199" s="22"/>
    </row>
    <row r="200" spans="1:8" ht="15" x14ac:dyDescent="0.2">
      <c r="A200" s="18">
        <v>2000000030142</v>
      </c>
      <c r="B200" s="19" t="s">
        <v>449</v>
      </c>
      <c r="C200" s="20" t="s">
        <v>450</v>
      </c>
      <c r="D200" s="2">
        <v>2.8</v>
      </c>
      <c r="E200" s="21"/>
      <c r="F200" s="2">
        <f t="shared" si="6"/>
        <v>0</v>
      </c>
      <c r="G200" s="3" t="str">
        <f>HYPERLINK("http://tmmp-catalog.com.ua/katalog/8/13215/","фото")</f>
        <v>фото</v>
      </c>
      <c r="H200" s="22"/>
    </row>
    <row r="201" spans="1:8" ht="15" x14ac:dyDescent="0.2">
      <c r="A201" s="18">
        <v>2000000030166</v>
      </c>
      <c r="B201" s="19" t="s">
        <v>451</v>
      </c>
      <c r="C201" s="20" t="s">
        <v>452</v>
      </c>
      <c r="D201" s="2">
        <v>0.1</v>
      </c>
      <c r="E201" s="21"/>
      <c r="F201" s="2">
        <f t="shared" si="6"/>
        <v>0</v>
      </c>
      <c r="G201" s="3" t="str">
        <f>HYPERLINK("http://tmmp-catalog.com.ua/katalog/8/13217/","фото")</f>
        <v>фото</v>
      </c>
      <c r="H201" s="22"/>
    </row>
    <row r="202" spans="1:8" ht="15" x14ac:dyDescent="0.2">
      <c r="A202" s="18">
        <v>2000000030173</v>
      </c>
      <c r="B202" s="19" t="s">
        <v>453</v>
      </c>
      <c r="C202" s="20" t="s">
        <v>454</v>
      </c>
      <c r="D202" s="2">
        <v>0.1</v>
      </c>
      <c r="E202" s="21"/>
      <c r="F202" s="2">
        <f t="shared" si="6"/>
        <v>0</v>
      </c>
      <c r="G202" s="3" t="str">
        <f>HYPERLINK("http://tmmp-catalog.com.ua/katalog/8/13218/","фото")</f>
        <v>фото</v>
      </c>
      <c r="H202" s="22"/>
    </row>
    <row r="203" spans="1:8" ht="15" x14ac:dyDescent="0.2">
      <c r="A203" s="18">
        <v>2000000002279</v>
      </c>
      <c r="B203" s="19" t="s">
        <v>455</v>
      </c>
      <c r="C203" s="20" t="s">
        <v>456</v>
      </c>
      <c r="D203" s="2">
        <v>6.5</v>
      </c>
      <c r="E203" s="21"/>
      <c r="F203" s="2">
        <f t="shared" si="6"/>
        <v>0</v>
      </c>
      <c r="G203" s="3" t="str">
        <f>HYPERLINK("http://tmmp-catalog.com.ua/katalog/10/14576/","фото")</f>
        <v>фото</v>
      </c>
      <c r="H203" s="22"/>
    </row>
    <row r="204" spans="1:8" ht="15" x14ac:dyDescent="0.2">
      <c r="A204" s="18">
        <v>2000000030814</v>
      </c>
      <c r="B204" s="19" t="s">
        <v>457</v>
      </c>
      <c r="C204" s="20" t="s">
        <v>458</v>
      </c>
      <c r="D204" s="2">
        <v>6.4</v>
      </c>
      <c r="E204" s="21"/>
      <c r="F204" s="2">
        <f t="shared" si="6"/>
        <v>0</v>
      </c>
      <c r="G204" s="3" t="str">
        <f>HYPERLINK("http://tmmp-catalog.com.ua/katalog/8/13285/","фото")</f>
        <v>фото</v>
      </c>
      <c r="H204" s="22"/>
    </row>
    <row r="205" spans="1:8" ht="15" x14ac:dyDescent="0.2">
      <c r="A205" s="18">
        <v>2000000030234</v>
      </c>
      <c r="B205" s="19" t="s">
        <v>459</v>
      </c>
      <c r="C205" s="20" t="s">
        <v>460</v>
      </c>
      <c r="D205" s="2">
        <v>4.5</v>
      </c>
      <c r="E205" s="21"/>
      <c r="F205" s="2">
        <f t="shared" si="6"/>
        <v>0</v>
      </c>
      <c r="G205" s="3" t="str">
        <f>HYPERLINK("http://tmmp-catalog.com.ua/katalog/8/13225/","фото")</f>
        <v>фото</v>
      </c>
      <c r="H205" s="22"/>
    </row>
    <row r="206" spans="1:8" ht="15" x14ac:dyDescent="0.2">
      <c r="A206" s="18">
        <v>2000000030241</v>
      </c>
      <c r="B206" s="19" t="s">
        <v>461</v>
      </c>
      <c r="C206" s="20" t="s">
        <v>462</v>
      </c>
      <c r="D206" s="2">
        <v>2.5</v>
      </c>
      <c r="E206" s="21"/>
      <c r="F206" s="2">
        <f t="shared" si="6"/>
        <v>0</v>
      </c>
      <c r="G206" s="3" t="str">
        <f>HYPERLINK("http://tmmp-catalog.com.ua/katalog/8/13226/","фото")</f>
        <v>фото</v>
      </c>
      <c r="H206" s="22"/>
    </row>
    <row r="207" spans="1:8" ht="15" x14ac:dyDescent="0.2">
      <c r="A207" s="18">
        <v>2000000030258</v>
      </c>
      <c r="B207" s="19" t="s">
        <v>463</v>
      </c>
      <c r="C207" s="20" t="s">
        <v>464</v>
      </c>
      <c r="D207" s="2">
        <v>5.2</v>
      </c>
      <c r="E207" s="21"/>
      <c r="F207" s="2">
        <f t="shared" si="6"/>
        <v>0</v>
      </c>
      <c r="G207" s="3" t="str">
        <f>HYPERLINK("http://tmmp-catalog.com.ua/katalog/8/13227/","фото")</f>
        <v>фото</v>
      </c>
      <c r="H207" s="22"/>
    </row>
    <row r="208" spans="1:8" ht="15" x14ac:dyDescent="0.2">
      <c r="A208" s="18">
        <v>2000000030265</v>
      </c>
      <c r="B208" s="19" t="s">
        <v>465</v>
      </c>
      <c r="C208" s="20" t="s">
        <v>466</v>
      </c>
      <c r="D208" s="2">
        <v>2.5</v>
      </c>
      <c r="E208" s="21"/>
      <c r="F208" s="2">
        <f t="shared" si="6"/>
        <v>0</v>
      </c>
      <c r="G208" s="3" t="str">
        <f>HYPERLINK("http://tmmp-catalog.com.ua/katalog/8/13228/","фото")</f>
        <v>фото</v>
      </c>
      <c r="H208" s="22"/>
    </row>
    <row r="209" spans="1:8" ht="15" x14ac:dyDescent="0.2">
      <c r="A209" s="18">
        <v>2000000030272</v>
      </c>
      <c r="B209" s="19" t="s">
        <v>467</v>
      </c>
      <c r="C209" s="20" t="s">
        <v>468</v>
      </c>
      <c r="D209" s="2">
        <v>4.7</v>
      </c>
      <c r="E209" s="21"/>
      <c r="F209" s="2">
        <f t="shared" si="6"/>
        <v>0</v>
      </c>
      <c r="G209" s="3" t="str">
        <f>HYPERLINK("http://tmmp-catalog.com.ua/katalog/8/13229/","фото")</f>
        <v>фото</v>
      </c>
      <c r="H209" s="22"/>
    </row>
    <row r="210" spans="1:8" ht="15" x14ac:dyDescent="0.2">
      <c r="A210" s="18">
        <v>2000000030296</v>
      </c>
      <c r="B210" s="19" t="s">
        <v>469</v>
      </c>
      <c r="C210" s="20" t="s">
        <v>470</v>
      </c>
      <c r="D210" s="2">
        <v>3.5</v>
      </c>
      <c r="E210" s="21"/>
      <c r="F210" s="2">
        <f t="shared" si="6"/>
        <v>0</v>
      </c>
      <c r="G210" s="3" t="str">
        <f>HYPERLINK("http://tmmp-catalog.com.ua/katalog/8/13231/","фото")</f>
        <v>фото</v>
      </c>
      <c r="H210" s="22"/>
    </row>
    <row r="211" spans="1:8" ht="15" x14ac:dyDescent="0.2">
      <c r="A211" s="18">
        <v>2000000030333</v>
      </c>
      <c r="B211" s="19" t="s">
        <v>471</v>
      </c>
      <c r="C211" s="20" t="s">
        <v>472</v>
      </c>
      <c r="D211" s="2">
        <v>2.9</v>
      </c>
      <c r="E211" s="21"/>
      <c r="F211" s="2">
        <f t="shared" si="6"/>
        <v>0</v>
      </c>
      <c r="G211" s="3" t="str">
        <f>HYPERLINK("http://tmmp-catalog.com.ua/katalog/8/13235/","фото")</f>
        <v>фото</v>
      </c>
      <c r="H211" s="22"/>
    </row>
    <row r="212" spans="1:8" ht="15" x14ac:dyDescent="0.2">
      <c r="A212" s="18">
        <v>2000000030340</v>
      </c>
      <c r="B212" s="19" t="s">
        <v>473</v>
      </c>
      <c r="C212" s="20" t="s">
        <v>474</v>
      </c>
      <c r="D212" s="2">
        <v>3.3</v>
      </c>
      <c r="E212" s="21"/>
      <c r="F212" s="2">
        <f t="shared" si="6"/>
        <v>0</v>
      </c>
      <c r="G212" s="3" t="str">
        <f>HYPERLINK("http://tmmp-catalog.com.ua/katalog/8/13236/","фото")</f>
        <v>фото</v>
      </c>
      <c r="H212" s="22"/>
    </row>
    <row r="213" spans="1:8" ht="15" x14ac:dyDescent="0.2">
      <c r="A213" s="18"/>
      <c r="B213" s="19" t="s">
        <v>475</v>
      </c>
      <c r="C213" s="20" t="s">
        <v>476</v>
      </c>
      <c r="D213" s="2">
        <v>3.5</v>
      </c>
      <c r="E213" s="21"/>
      <c r="F213" s="2">
        <f t="shared" si="6"/>
        <v>0</v>
      </c>
      <c r="G213" s="3" t="str">
        <f>HYPERLINK("http://tmmp-catalog.com.ua/katalog/37/18299/","фото")</f>
        <v>фото</v>
      </c>
      <c r="H213" s="22"/>
    </row>
    <row r="214" spans="1:8" ht="15" x14ac:dyDescent="0.2">
      <c r="A214" s="18"/>
      <c r="B214" s="19" t="s">
        <v>477</v>
      </c>
      <c r="C214" s="20" t="s">
        <v>478</v>
      </c>
      <c r="D214" s="2">
        <v>0.45</v>
      </c>
      <c r="E214" s="21"/>
      <c r="F214" s="2">
        <f t="shared" si="6"/>
        <v>0</v>
      </c>
      <c r="G214" s="3" t="str">
        <f>HYPERLINK("http://tmmp-catalog.com.ua/katalog/37/18301/","фото")</f>
        <v>фото</v>
      </c>
      <c r="H214" s="22"/>
    </row>
    <row r="215" spans="1:8" ht="15" x14ac:dyDescent="0.2">
      <c r="A215" s="18">
        <v>2000000034713</v>
      </c>
      <c r="B215" s="19" t="s">
        <v>479</v>
      </c>
      <c r="C215" s="20" t="s">
        <v>480</v>
      </c>
      <c r="D215" s="2">
        <v>0.45</v>
      </c>
      <c r="E215" s="21"/>
      <c r="F215" s="2">
        <f t="shared" si="6"/>
        <v>0</v>
      </c>
      <c r="G215" s="3" t="str">
        <f>HYPERLINK("http://tmmp-catalog.com.ua/katalog/8/17004/","фото")</f>
        <v>фото</v>
      </c>
      <c r="H215" s="22"/>
    </row>
    <row r="216" spans="1:8" ht="15" x14ac:dyDescent="0.2">
      <c r="A216" s="18"/>
      <c r="B216" s="19" t="s">
        <v>481</v>
      </c>
      <c r="C216" s="20" t="s">
        <v>482</v>
      </c>
      <c r="D216" s="2">
        <v>0.7</v>
      </c>
      <c r="E216" s="21"/>
      <c r="F216" s="2">
        <f t="shared" si="6"/>
        <v>0</v>
      </c>
      <c r="G216" s="3" t="str">
        <f>HYPERLINK("http://tmmp-catalog.com.ua/katalog/37/18302/","фото")</f>
        <v>фото</v>
      </c>
      <c r="H216" s="22"/>
    </row>
    <row r="217" spans="1:8" ht="15" x14ac:dyDescent="0.2">
      <c r="A217" s="18">
        <v>2000000034546</v>
      </c>
      <c r="B217" s="19" t="s">
        <v>483</v>
      </c>
      <c r="C217" s="20" t="s">
        <v>484</v>
      </c>
      <c r="D217" s="2">
        <v>0.55000000000000004</v>
      </c>
      <c r="E217" s="21"/>
      <c r="F217" s="2">
        <f t="shared" si="6"/>
        <v>0</v>
      </c>
      <c r="G217" s="3" t="str">
        <f>HYPERLINK("http://tmmp-catalog.com.ua/katalog/8/16976/","фото")</f>
        <v>фото</v>
      </c>
      <c r="H217" s="22"/>
    </row>
    <row r="218" spans="1:8" ht="15" x14ac:dyDescent="0.2">
      <c r="A218" s="18">
        <v>2000000034522</v>
      </c>
      <c r="B218" s="19" t="s">
        <v>485</v>
      </c>
      <c r="C218" s="20" t="s">
        <v>486</v>
      </c>
      <c r="D218" s="2">
        <v>0.45</v>
      </c>
      <c r="E218" s="21"/>
      <c r="F218" s="2">
        <f t="shared" si="6"/>
        <v>0</v>
      </c>
      <c r="G218" s="3" t="str">
        <f>HYPERLINK("http://tmmp-catalog.com.ua/katalog/8/16974/","фото")</f>
        <v>фото</v>
      </c>
      <c r="H218" s="22"/>
    </row>
    <row r="219" spans="1:8" ht="15" x14ac:dyDescent="0.2">
      <c r="A219" s="18"/>
      <c r="B219" s="19" t="s">
        <v>487</v>
      </c>
      <c r="C219" s="20" t="s">
        <v>488</v>
      </c>
      <c r="D219" s="2">
        <v>0.45</v>
      </c>
      <c r="E219" s="21"/>
      <c r="F219" s="2">
        <f t="shared" si="6"/>
        <v>0</v>
      </c>
      <c r="G219" s="3" t="str">
        <f>HYPERLINK("http://tmmp-catalog.com.ua/katalog/37/18303/","фото")</f>
        <v>фото</v>
      </c>
      <c r="H219" s="22"/>
    </row>
    <row r="220" spans="1:8" ht="15" x14ac:dyDescent="0.2">
      <c r="A220" s="18">
        <v>2000000034720</v>
      </c>
      <c r="B220" s="19" t="s">
        <v>489</v>
      </c>
      <c r="C220" s="20" t="s">
        <v>490</v>
      </c>
      <c r="D220" s="2">
        <v>0.45</v>
      </c>
      <c r="E220" s="21"/>
      <c r="F220" s="2">
        <f t="shared" si="6"/>
        <v>0</v>
      </c>
      <c r="G220" s="3" t="str">
        <f>HYPERLINK("http://tmmp-catalog.com.ua/katalog/8/17005/","фото")</f>
        <v>фото</v>
      </c>
      <c r="H220" s="22"/>
    </row>
    <row r="221" spans="1:8" ht="15" x14ac:dyDescent="0.2">
      <c r="A221" s="18"/>
      <c r="B221" s="19" t="s">
        <v>491</v>
      </c>
      <c r="C221" s="20" t="s">
        <v>492</v>
      </c>
      <c r="D221" s="2">
        <v>0.7</v>
      </c>
      <c r="E221" s="21"/>
      <c r="F221" s="2">
        <f t="shared" si="6"/>
        <v>0</v>
      </c>
      <c r="G221" s="3" t="str">
        <f>HYPERLINK("http://tmmp-catalog.com.ua/katalog/37/18304/","фото")</f>
        <v>фото</v>
      </c>
      <c r="H221" s="22"/>
    </row>
    <row r="222" spans="1:8" ht="15" x14ac:dyDescent="0.2">
      <c r="A222" s="18">
        <v>2000000030227</v>
      </c>
      <c r="B222" s="19" t="s">
        <v>493</v>
      </c>
      <c r="C222" s="20" t="s">
        <v>494</v>
      </c>
      <c r="D222" s="2">
        <v>0.45</v>
      </c>
      <c r="E222" s="21"/>
      <c r="F222" s="2">
        <f t="shared" si="6"/>
        <v>0</v>
      </c>
      <c r="G222" s="3" t="str">
        <f>HYPERLINK("http://tmmp-catalog.com.ua/katalog/8/13224/","фото")</f>
        <v>фото</v>
      </c>
      <c r="H222" s="22"/>
    </row>
    <row r="223" spans="1:8" ht="15" x14ac:dyDescent="0.2">
      <c r="A223" s="18">
        <v>2000000034539</v>
      </c>
      <c r="B223" s="19" t="s">
        <v>495</v>
      </c>
      <c r="C223" s="20" t="s">
        <v>496</v>
      </c>
      <c r="D223" s="2">
        <v>0.45</v>
      </c>
      <c r="E223" s="21"/>
      <c r="F223" s="2">
        <f t="shared" si="6"/>
        <v>0</v>
      </c>
      <c r="G223" s="3" t="str">
        <f>HYPERLINK("http://tmmp-catalog.com.ua/katalog/8/16975/","фото")</f>
        <v>фото</v>
      </c>
      <c r="H223" s="22"/>
    </row>
    <row r="224" spans="1:8" ht="15" x14ac:dyDescent="0.2">
      <c r="A224" s="18">
        <v>2000000030197</v>
      </c>
      <c r="B224" s="19" t="s">
        <v>497</v>
      </c>
      <c r="C224" s="20" t="s">
        <v>498</v>
      </c>
      <c r="D224" s="2">
        <v>0.6</v>
      </c>
      <c r="E224" s="21"/>
      <c r="F224" s="2">
        <f t="shared" si="6"/>
        <v>0</v>
      </c>
      <c r="G224" s="3" t="str">
        <f>HYPERLINK("http://tmmp-catalog.com.ua/katalog/8/13220/","фото")</f>
        <v>фото</v>
      </c>
      <c r="H224" s="22"/>
    </row>
    <row r="225" spans="1:8" ht="15" x14ac:dyDescent="0.2">
      <c r="A225" s="18">
        <v>2000000030210</v>
      </c>
      <c r="B225" s="19" t="s">
        <v>499</v>
      </c>
      <c r="C225" s="20" t="s">
        <v>500</v>
      </c>
      <c r="D225" s="2">
        <v>0.85</v>
      </c>
      <c r="E225" s="21"/>
      <c r="F225" s="2">
        <f t="shared" si="6"/>
        <v>0</v>
      </c>
      <c r="G225" s="3" t="str">
        <f>HYPERLINK("http://tmmp-catalog.com.ua/katalog/8/13223/","фото")</f>
        <v>фото</v>
      </c>
      <c r="H225" s="22"/>
    </row>
    <row r="226" spans="1:8" ht="15" x14ac:dyDescent="0.2">
      <c r="A226" s="18">
        <v>2000000030500</v>
      </c>
      <c r="B226" s="19" t="s">
        <v>501</v>
      </c>
      <c r="C226" s="20" t="s">
        <v>502</v>
      </c>
      <c r="D226" s="2">
        <v>0.9</v>
      </c>
      <c r="E226" s="21"/>
      <c r="F226" s="2">
        <f t="shared" si="6"/>
        <v>0</v>
      </c>
      <c r="G226" s="3" t="str">
        <f>HYPERLINK("http://tmmp-catalog.com.ua/katalog/8/13253/","фото")</f>
        <v>фото</v>
      </c>
      <c r="H226" s="22"/>
    </row>
    <row r="227" spans="1:8" ht="15" x14ac:dyDescent="0.2">
      <c r="A227" s="18">
        <v>2000000030517</v>
      </c>
      <c r="B227" s="19" t="s">
        <v>503</v>
      </c>
      <c r="C227" s="20" t="s">
        <v>504</v>
      </c>
      <c r="D227" s="2">
        <v>0.45</v>
      </c>
      <c r="E227" s="21"/>
      <c r="F227" s="2">
        <f t="shared" si="6"/>
        <v>0</v>
      </c>
      <c r="G227" s="3" t="str">
        <f>HYPERLINK("http://tmmp-catalog.com.ua/katalog/8/13255/","фото")</f>
        <v>фото</v>
      </c>
      <c r="H227" s="22"/>
    </row>
    <row r="228" spans="1:8" ht="15" x14ac:dyDescent="0.2">
      <c r="A228" s="18">
        <v>2000000033884</v>
      </c>
      <c r="B228" s="19" t="s">
        <v>505</v>
      </c>
      <c r="C228" s="20" t="s">
        <v>506</v>
      </c>
      <c r="D228" s="2">
        <v>0.45</v>
      </c>
      <c r="E228" s="21"/>
      <c r="F228" s="2">
        <f t="shared" si="6"/>
        <v>0</v>
      </c>
      <c r="G228" s="3" t="str">
        <f>HYPERLINK("http://tmmp-catalog.com.ua/katalog/8/16566/","фото")</f>
        <v>фото</v>
      </c>
      <c r="H228" s="22"/>
    </row>
    <row r="229" spans="1:8" ht="15" x14ac:dyDescent="0.2">
      <c r="A229" s="18">
        <v>2000000030357</v>
      </c>
      <c r="B229" s="19" t="s">
        <v>507</v>
      </c>
      <c r="C229" s="20" t="s">
        <v>508</v>
      </c>
      <c r="D229" s="2">
        <v>0.65</v>
      </c>
      <c r="E229" s="21"/>
      <c r="F229" s="2">
        <f t="shared" si="6"/>
        <v>0</v>
      </c>
      <c r="G229" s="3" t="str">
        <f>HYPERLINK("http://tmmp-catalog.com.ua/katalog/8/13237/","фото")</f>
        <v>фото</v>
      </c>
      <c r="H229" s="22"/>
    </row>
    <row r="230" spans="1:8" ht="15" x14ac:dyDescent="0.2">
      <c r="A230" s="18">
        <v>2000000030364</v>
      </c>
      <c r="B230" s="19" t="s">
        <v>509</v>
      </c>
      <c r="C230" s="20" t="s">
        <v>510</v>
      </c>
      <c r="D230" s="2">
        <v>1.9</v>
      </c>
      <c r="E230" s="21"/>
      <c r="F230" s="2">
        <f t="shared" si="6"/>
        <v>0</v>
      </c>
      <c r="G230" s="3" t="str">
        <f>HYPERLINK("http://tmmp-catalog.com.ua/katalog/8/13238/","фото")</f>
        <v>фото</v>
      </c>
      <c r="H230" s="22"/>
    </row>
    <row r="231" spans="1:8" ht="15" x14ac:dyDescent="0.2">
      <c r="A231" s="18">
        <v>2000000030371</v>
      </c>
      <c r="B231" s="19" t="s">
        <v>511</v>
      </c>
      <c r="C231" s="20" t="s">
        <v>512</v>
      </c>
      <c r="D231" s="2">
        <v>0.8</v>
      </c>
      <c r="E231" s="21"/>
      <c r="F231" s="2">
        <f t="shared" si="6"/>
        <v>0</v>
      </c>
      <c r="G231" s="3" t="str">
        <f>HYPERLINK("http://tmmp-catalog.com.ua/katalog/8/13239/","фото")</f>
        <v>фото</v>
      </c>
      <c r="H231" s="22"/>
    </row>
    <row r="232" spans="1:8" ht="15" x14ac:dyDescent="0.2">
      <c r="A232" s="18"/>
      <c r="B232" s="19" t="s">
        <v>513</v>
      </c>
      <c r="C232" s="20" t="s">
        <v>514</v>
      </c>
      <c r="D232" s="2">
        <v>2</v>
      </c>
      <c r="E232" s="21"/>
      <c r="F232" s="2">
        <f t="shared" si="6"/>
        <v>0</v>
      </c>
      <c r="G232" s="3" t="str">
        <f>HYPERLINK("http://tmmp-catalog.com.ua/katalog/8/17761/","фото")</f>
        <v>фото</v>
      </c>
      <c r="H232" s="22"/>
    </row>
    <row r="233" spans="1:8" ht="15" x14ac:dyDescent="0.2">
      <c r="A233" s="18">
        <v>2000000030531</v>
      </c>
      <c r="B233" s="19" t="s">
        <v>515</v>
      </c>
      <c r="C233" s="20" t="s">
        <v>516</v>
      </c>
      <c r="D233" s="2">
        <v>0.3</v>
      </c>
      <c r="E233" s="21"/>
      <c r="F233" s="2">
        <f t="shared" si="6"/>
        <v>0</v>
      </c>
      <c r="G233" s="3" t="str">
        <f>HYPERLINK("http://tmmp-catalog.com.ua/katalog/8/13257/","фото")</f>
        <v>фото</v>
      </c>
      <c r="H233" s="22"/>
    </row>
    <row r="234" spans="1:8" ht="15" x14ac:dyDescent="0.2">
      <c r="A234" s="18">
        <v>2000000030388</v>
      </c>
      <c r="B234" s="19" t="s">
        <v>517</v>
      </c>
      <c r="C234" s="20" t="s">
        <v>518</v>
      </c>
      <c r="D234" s="2">
        <v>0.8</v>
      </c>
      <c r="E234" s="21"/>
      <c r="F234" s="2">
        <f t="shared" si="6"/>
        <v>0</v>
      </c>
      <c r="G234" s="3" t="str">
        <f>HYPERLINK("http://tmmp-catalog.com.ua/katalog/8/13240/","фото")</f>
        <v>фото</v>
      </c>
      <c r="H234" s="22"/>
    </row>
    <row r="235" spans="1:8" ht="15" x14ac:dyDescent="0.2">
      <c r="A235" s="18">
        <v>2000000030548</v>
      </c>
      <c r="B235" s="19" t="s">
        <v>519</v>
      </c>
      <c r="C235" s="20" t="s">
        <v>520</v>
      </c>
      <c r="D235" s="2">
        <v>0.3</v>
      </c>
      <c r="E235" s="21"/>
      <c r="F235" s="2">
        <f t="shared" si="6"/>
        <v>0</v>
      </c>
      <c r="G235" s="3" t="str">
        <f>HYPERLINK("http://tmmp-catalog.com.ua/katalog/8/13258/","фото")</f>
        <v>фото</v>
      </c>
      <c r="H235" s="22"/>
    </row>
    <row r="236" spans="1:8" ht="15" x14ac:dyDescent="0.2">
      <c r="A236" s="18">
        <v>2000000030395</v>
      </c>
      <c r="B236" s="19" t="s">
        <v>521</v>
      </c>
      <c r="C236" s="20" t="s">
        <v>522</v>
      </c>
      <c r="D236" s="2">
        <v>0.8</v>
      </c>
      <c r="E236" s="21"/>
      <c r="F236" s="2">
        <f t="shared" si="6"/>
        <v>0</v>
      </c>
      <c r="G236" s="3" t="str">
        <f>HYPERLINK("http://tmmp-catalog.com.ua/katalog/8/13241/","фото")</f>
        <v>фото</v>
      </c>
      <c r="H236" s="22"/>
    </row>
    <row r="237" spans="1:8" ht="15" x14ac:dyDescent="0.2">
      <c r="A237" s="18">
        <v>2000000030555</v>
      </c>
      <c r="B237" s="19" t="s">
        <v>523</v>
      </c>
      <c r="C237" s="20" t="s">
        <v>524</v>
      </c>
      <c r="D237" s="2">
        <v>0.4</v>
      </c>
      <c r="E237" s="21"/>
      <c r="F237" s="2">
        <f t="shared" si="6"/>
        <v>0</v>
      </c>
      <c r="G237" s="3" t="str">
        <f>HYPERLINK("http://tmmp-catalog.com.ua/katalog/8/13259/","фото")</f>
        <v>фото</v>
      </c>
      <c r="H237" s="22"/>
    </row>
    <row r="238" spans="1:8" ht="15" x14ac:dyDescent="0.2">
      <c r="A238" s="18">
        <v>2000000030401</v>
      </c>
      <c r="B238" s="19" t="s">
        <v>525</v>
      </c>
      <c r="C238" s="20" t="s">
        <v>526</v>
      </c>
      <c r="D238" s="2">
        <v>0.8</v>
      </c>
      <c r="E238" s="21"/>
      <c r="F238" s="2">
        <f t="shared" si="6"/>
        <v>0</v>
      </c>
      <c r="G238" s="3" t="str">
        <f>HYPERLINK("http://tmmp-catalog.com.ua/katalog/8/13242/","фото")</f>
        <v>фото</v>
      </c>
      <c r="H238" s="22"/>
    </row>
    <row r="239" spans="1:8" ht="15" x14ac:dyDescent="0.2">
      <c r="A239" s="18">
        <v>2000000030418</v>
      </c>
      <c r="B239" s="19" t="s">
        <v>527</v>
      </c>
      <c r="C239" s="20" t="s">
        <v>528</v>
      </c>
      <c r="D239" s="2">
        <v>1</v>
      </c>
      <c r="E239" s="21"/>
      <c r="F239" s="2">
        <f t="shared" si="6"/>
        <v>0</v>
      </c>
      <c r="G239" s="3" t="str">
        <f>HYPERLINK("http://tmmp-catalog.com.ua/katalog/8/13243/","фото")</f>
        <v>фото</v>
      </c>
      <c r="H239" s="22"/>
    </row>
    <row r="240" spans="1:8" ht="15" x14ac:dyDescent="0.2">
      <c r="A240" s="18"/>
      <c r="B240" s="19" t="s">
        <v>529</v>
      </c>
      <c r="C240" s="20" t="s">
        <v>530</v>
      </c>
      <c r="D240" s="2">
        <v>0.65</v>
      </c>
      <c r="E240" s="21"/>
      <c r="F240" s="2">
        <f t="shared" si="6"/>
        <v>0</v>
      </c>
      <c r="G240" s="3" t="str">
        <f>HYPERLINK("http://tmmp-catalog.com.ua/katalog/8/17775/","фото")</f>
        <v>фото</v>
      </c>
      <c r="H240" s="22"/>
    </row>
    <row r="241" spans="1:8" ht="15" x14ac:dyDescent="0.2">
      <c r="A241" s="18"/>
      <c r="B241" s="19" t="s">
        <v>531</v>
      </c>
      <c r="C241" s="20" t="s">
        <v>532</v>
      </c>
      <c r="D241" s="2">
        <v>3.2</v>
      </c>
      <c r="E241" s="21"/>
      <c r="F241" s="2">
        <f t="shared" si="6"/>
        <v>0</v>
      </c>
      <c r="G241" s="3" t="str">
        <f>HYPERLINK("http://tmmp-catalog.com.ua/katalog/37/18306/","фото")</f>
        <v>фото</v>
      </c>
      <c r="H241" s="22"/>
    </row>
    <row r="242" spans="1:8" ht="15" x14ac:dyDescent="0.2">
      <c r="A242" s="18">
        <v>2000000030449</v>
      </c>
      <c r="B242" s="19" t="s">
        <v>533</v>
      </c>
      <c r="C242" s="20" t="s">
        <v>534</v>
      </c>
      <c r="D242" s="2">
        <v>0.9</v>
      </c>
      <c r="E242" s="21"/>
      <c r="F242" s="2">
        <f t="shared" si="6"/>
        <v>0</v>
      </c>
      <c r="G242" s="3" t="str">
        <f>HYPERLINK("http://tmmp-catalog.com.ua/katalog/8/13246/","фото")</f>
        <v>фото</v>
      </c>
      <c r="H242" s="22"/>
    </row>
    <row r="243" spans="1:8" ht="15" x14ac:dyDescent="0.2">
      <c r="A243" s="18">
        <v>2000000030456</v>
      </c>
      <c r="B243" s="19" t="s">
        <v>535</v>
      </c>
      <c r="C243" s="20" t="s">
        <v>536</v>
      </c>
      <c r="D243" s="2">
        <v>0.95</v>
      </c>
      <c r="E243" s="21"/>
      <c r="F243" s="2">
        <f t="shared" si="6"/>
        <v>0</v>
      </c>
      <c r="G243" s="3" t="str">
        <f>HYPERLINK("http://tmmp-catalog.com.ua/katalog/8/13247/","фото")</f>
        <v>фото</v>
      </c>
      <c r="H243" s="22"/>
    </row>
    <row r="244" spans="1:8" ht="15" x14ac:dyDescent="0.2">
      <c r="A244" s="18">
        <v>2000000030586</v>
      </c>
      <c r="B244" s="19" t="s">
        <v>537</v>
      </c>
      <c r="C244" s="20" t="s">
        <v>538</v>
      </c>
      <c r="D244" s="2">
        <v>1.2</v>
      </c>
      <c r="E244" s="21"/>
      <c r="F244" s="2">
        <f t="shared" si="6"/>
        <v>0</v>
      </c>
      <c r="G244" s="3" t="str">
        <f>HYPERLINK("http://tmmp-catalog.com.ua/katalog/8/13262/","фото")</f>
        <v>фото</v>
      </c>
      <c r="H244" s="22"/>
    </row>
    <row r="245" spans="1:8" ht="15" x14ac:dyDescent="0.2">
      <c r="A245" s="18">
        <v>2000000030609</v>
      </c>
      <c r="B245" s="19" t="s">
        <v>539</v>
      </c>
      <c r="C245" s="20" t="s">
        <v>540</v>
      </c>
      <c r="D245" s="2">
        <v>0.6</v>
      </c>
      <c r="E245" s="21"/>
      <c r="F245" s="2">
        <f t="shared" si="6"/>
        <v>0</v>
      </c>
      <c r="G245" s="3" t="str">
        <f>HYPERLINK("http://tmmp-catalog.com.ua/katalog/8/13264/","фото")</f>
        <v>фото</v>
      </c>
      <c r="H245" s="22"/>
    </row>
    <row r="246" spans="1:8" ht="15" x14ac:dyDescent="0.2">
      <c r="A246" s="18"/>
      <c r="B246" s="19" t="s">
        <v>541</v>
      </c>
      <c r="C246" s="20" t="s">
        <v>542</v>
      </c>
      <c r="D246" s="2">
        <v>1.85</v>
      </c>
      <c r="E246" s="21"/>
      <c r="F246" s="2">
        <f t="shared" si="6"/>
        <v>0</v>
      </c>
      <c r="G246" s="3" t="str">
        <f>HYPERLINK("http://tmmp-catalog.com.ua/katalog/8/17270/","фото")</f>
        <v>фото</v>
      </c>
      <c r="H246" s="22"/>
    </row>
    <row r="247" spans="1:8" ht="15" x14ac:dyDescent="0.2">
      <c r="A247" s="18">
        <v>2000000030623</v>
      </c>
      <c r="B247" s="19" t="s">
        <v>543</v>
      </c>
      <c r="C247" s="20" t="s">
        <v>544</v>
      </c>
      <c r="D247" s="2">
        <v>1.1000000000000001</v>
      </c>
      <c r="E247" s="21"/>
      <c r="F247" s="2">
        <f t="shared" si="6"/>
        <v>0</v>
      </c>
      <c r="G247" s="3" t="str">
        <f>HYPERLINK("http://tmmp-catalog.com.ua/katalog/8/13266/","фото")</f>
        <v>фото</v>
      </c>
      <c r="H247" s="22"/>
    </row>
    <row r="248" spans="1:8" ht="15" x14ac:dyDescent="0.2">
      <c r="A248" s="18">
        <v>2000000034553</v>
      </c>
      <c r="B248" s="19" t="s">
        <v>545</v>
      </c>
      <c r="C248" s="20" t="s">
        <v>546</v>
      </c>
      <c r="D248" s="2">
        <v>2.9</v>
      </c>
      <c r="E248" s="21"/>
      <c r="F248" s="2">
        <f t="shared" si="6"/>
        <v>0</v>
      </c>
      <c r="G248" s="3" t="str">
        <f>HYPERLINK("http://tmmp-catalog.com.ua/katalog/8/16977/","фото")</f>
        <v>фото</v>
      </c>
      <c r="H248" s="22"/>
    </row>
    <row r="249" spans="1:8" ht="15" x14ac:dyDescent="0.2">
      <c r="A249" s="18">
        <v>2000000033853</v>
      </c>
      <c r="B249" s="19" t="s">
        <v>547</v>
      </c>
      <c r="C249" s="20" t="s">
        <v>548</v>
      </c>
      <c r="D249" s="2">
        <v>2.5</v>
      </c>
      <c r="E249" s="21"/>
      <c r="F249" s="2">
        <f t="shared" ref="F249:F312" si="7">cena*zakaz</f>
        <v>0</v>
      </c>
      <c r="G249" s="3" t="str">
        <f>HYPERLINK("http://tmmp-catalog.com.ua/katalog/8/16563/","фото")</f>
        <v>фото</v>
      </c>
      <c r="H249" s="22"/>
    </row>
    <row r="250" spans="1:8" ht="15" x14ac:dyDescent="0.2">
      <c r="A250" s="18">
        <v>2000000031569</v>
      </c>
      <c r="B250" s="19" t="s">
        <v>549</v>
      </c>
      <c r="C250" s="20" t="s">
        <v>550</v>
      </c>
      <c r="D250" s="2">
        <v>4</v>
      </c>
      <c r="E250" s="21"/>
      <c r="F250" s="2">
        <f t="shared" si="7"/>
        <v>0</v>
      </c>
      <c r="G250" s="3" t="str">
        <f>HYPERLINK("http://tmmp-catalog.com.ua/katalog/8/13362/","фото")</f>
        <v>фото</v>
      </c>
      <c r="H250" s="22"/>
    </row>
    <row r="251" spans="1:8" ht="15" x14ac:dyDescent="0.2">
      <c r="A251" s="18">
        <v>2000000031576</v>
      </c>
      <c r="B251" s="19" t="s">
        <v>551</v>
      </c>
      <c r="C251" s="20" t="s">
        <v>552</v>
      </c>
      <c r="D251" s="2">
        <v>3</v>
      </c>
      <c r="E251" s="21"/>
      <c r="F251" s="2">
        <f t="shared" si="7"/>
        <v>0</v>
      </c>
      <c r="G251" s="3" t="str">
        <f>HYPERLINK("http://tmmp-catalog.com.ua/katalog/8/13363/","фото")</f>
        <v>фото</v>
      </c>
      <c r="H251" s="22"/>
    </row>
    <row r="252" spans="1:8" ht="15" x14ac:dyDescent="0.2">
      <c r="A252" s="18">
        <v>2000000031644</v>
      </c>
      <c r="B252" s="19" t="s">
        <v>553</v>
      </c>
      <c r="C252" s="20" t="s">
        <v>554</v>
      </c>
      <c r="D252" s="2">
        <v>5</v>
      </c>
      <c r="E252" s="21"/>
      <c r="F252" s="2">
        <f t="shared" si="7"/>
        <v>0</v>
      </c>
      <c r="G252" s="3" t="str">
        <f>HYPERLINK("http://tmmp-catalog.com.ua/katalog/8/13370/","фото")</f>
        <v>фото</v>
      </c>
      <c r="H252" s="22"/>
    </row>
    <row r="253" spans="1:8" ht="15" x14ac:dyDescent="0.2">
      <c r="A253" s="18">
        <v>2000000034492</v>
      </c>
      <c r="B253" s="19" t="s">
        <v>555</v>
      </c>
      <c r="C253" s="20" t="s">
        <v>556</v>
      </c>
      <c r="D253" s="2">
        <v>4.9000000000000004</v>
      </c>
      <c r="E253" s="21"/>
      <c r="F253" s="2">
        <f t="shared" si="7"/>
        <v>0</v>
      </c>
      <c r="G253" s="3" t="str">
        <f>HYPERLINK("http://tmmp-catalog.com.ua/katalog/8/16971/","фото")</f>
        <v>фото</v>
      </c>
      <c r="H253" s="22"/>
    </row>
    <row r="254" spans="1:8" ht="15" x14ac:dyDescent="0.2">
      <c r="A254" s="18">
        <v>2000000031651</v>
      </c>
      <c r="B254" s="19" t="s">
        <v>557</v>
      </c>
      <c r="C254" s="20" t="s">
        <v>558</v>
      </c>
      <c r="D254" s="2">
        <v>4</v>
      </c>
      <c r="E254" s="21"/>
      <c r="F254" s="2">
        <f t="shared" si="7"/>
        <v>0</v>
      </c>
      <c r="G254" s="3" t="str">
        <f>HYPERLINK("http://tmmp-catalog.com.ua/katalog/8/13371/","фото")</f>
        <v>фото</v>
      </c>
      <c r="H254" s="22"/>
    </row>
    <row r="255" spans="1:8" ht="15" x14ac:dyDescent="0.2">
      <c r="A255" s="18">
        <v>2000000031699</v>
      </c>
      <c r="B255" s="19" t="s">
        <v>559</v>
      </c>
      <c r="C255" s="20" t="s">
        <v>560</v>
      </c>
      <c r="D255" s="2">
        <v>1.9</v>
      </c>
      <c r="E255" s="21"/>
      <c r="F255" s="2">
        <f t="shared" si="7"/>
        <v>0</v>
      </c>
      <c r="G255" s="3" t="str">
        <f>HYPERLINK("http://tmmp-catalog.com.ua/katalog/8/13375/","фото")</f>
        <v>фото</v>
      </c>
      <c r="H255" s="22"/>
    </row>
    <row r="256" spans="1:8" ht="15" x14ac:dyDescent="0.2">
      <c r="A256" s="18">
        <v>2000000030616</v>
      </c>
      <c r="B256" s="19" t="s">
        <v>561</v>
      </c>
      <c r="C256" s="20" t="s">
        <v>562</v>
      </c>
      <c r="D256" s="2">
        <v>1.3</v>
      </c>
      <c r="E256" s="21"/>
      <c r="F256" s="2">
        <f t="shared" si="7"/>
        <v>0</v>
      </c>
      <c r="G256" s="3" t="str">
        <f>HYPERLINK("http://tmmp-catalog.com.ua/katalog/8/13265/","фото")</f>
        <v>фото</v>
      </c>
      <c r="H256" s="22"/>
    </row>
    <row r="257" spans="1:8" ht="15" x14ac:dyDescent="0.2">
      <c r="A257" s="18"/>
      <c r="B257" s="19" t="s">
        <v>563</v>
      </c>
      <c r="C257" s="20" t="s">
        <v>564</v>
      </c>
      <c r="D257" s="2">
        <v>5.5</v>
      </c>
      <c r="E257" s="21"/>
      <c r="F257" s="2">
        <f t="shared" si="7"/>
        <v>0</v>
      </c>
      <c r="G257" s="3" t="str">
        <f>HYPERLINK("http://tmmp-catalog.com.ua/katalog/8/17517/","фото")</f>
        <v>фото</v>
      </c>
      <c r="H257" s="22"/>
    </row>
    <row r="258" spans="1:8" ht="15" x14ac:dyDescent="0.2">
      <c r="A258" s="18">
        <v>2000000030661</v>
      </c>
      <c r="B258" s="19" t="s">
        <v>565</v>
      </c>
      <c r="C258" s="20" t="s">
        <v>566</v>
      </c>
      <c r="D258" s="2">
        <v>2.7</v>
      </c>
      <c r="E258" s="21"/>
      <c r="F258" s="2">
        <f t="shared" si="7"/>
        <v>0</v>
      </c>
      <c r="G258" s="3" t="str">
        <f>HYPERLINK("http://tmmp-catalog.com.ua/katalog/8/13270/","фото")</f>
        <v>фото</v>
      </c>
      <c r="H258" s="22"/>
    </row>
    <row r="259" spans="1:8" ht="15" x14ac:dyDescent="0.2">
      <c r="A259" s="18">
        <v>2000000030654</v>
      </c>
      <c r="B259" s="19" t="s">
        <v>567</v>
      </c>
      <c r="C259" s="20" t="s">
        <v>568</v>
      </c>
      <c r="D259" s="2">
        <v>2.15</v>
      </c>
      <c r="E259" s="21"/>
      <c r="F259" s="2">
        <f t="shared" si="7"/>
        <v>0</v>
      </c>
      <c r="G259" s="3" t="str">
        <f>HYPERLINK("http://tmmp-catalog.com.ua/katalog/8/13269/","фото")</f>
        <v>фото</v>
      </c>
      <c r="H259" s="22"/>
    </row>
    <row r="260" spans="1:8" ht="15" x14ac:dyDescent="0.2">
      <c r="A260" s="18">
        <v>2000000030678</v>
      </c>
      <c r="B260" s="19" t="s">
        <v>569</v>
      </c>
      <c r="C260" s="20" t="s">
        <v>570</v>
      </c>
      <c r="D260" s="2">
        <v>2</v>
      </c>
      <c r="E260" s="21"/>
      <c r="F260" s="2">
        <f t="shared" si="7"/>
        <v>0</v>
      </c>
      <c r="G260" s="3" t="str">
        <f>HYPERLINK("http://tmmp-catalog.com.ua/katalog/8/13271/","фото")</f>
        <v>фото</v>
      </c>
      <c r="H260" s="22"/>
    </row>
    <row r="261" spans="1:8" ht="15" x14ac:dyDescent="0.2">
      <c r="A261" s="18">
        <v>2000000030647</v>
      </c>
      <c r="B261" s="19" t="s">
        <v>571</v>
      </c>
      <c r="C261" s="20" t="s">
        <v>572</v>
      </c>
      <c r="D261" s="2">
        <v>2.6</v>
      </c>
      <c r="E261" s="21"/>
      <c r="F261" s="2">
        <f t="shared" si="7"/>
        <v>0</v>
      </c>
      <c r="G261" s="3" t="str">
        <f>HYPERLINK("http://tmmp-catalog.com.ua/katalog/8/13268/","фото")</f>
        <v>фото</v>
      </c>
      <c r="H261" s="22"/>
    </row>
    <row r="262" spans="1:8" ht="15" x14ac:dyDescent="0.2">
      <c r="A262" s="18">
        <v>2000000030630</v>
      </c>
      <c r="B262" s="19" t="s">
        <v>573</v>
      </c>
      <c r="C262" s="20" t="s">
        <v>574</v>
      </c>
      <c r="D262" s="2">
        <v>1.75</v>
      </c>
      <c r="E262" s="21"/>
      <c r="F262" s="2">
        <f t="shared" si="7"/>
        <v>0</v>
      </c>
      <c r="G262" s="3" t="str">
        <f>HYPERLINK("http://tmmp-catalog.com.ua/katalog/8/13267/","фото")</f>
        <v>фото</v>
      </c>
      <c r="H262" s="22"/>
    </row>
    <row r="263" spans="1:8" ht="15" x14ac:dyDescent="0.2">
      <c r="A263" s="18">
        <v>2000000034485</v>
      </c>
      <c r="B263" s="19" t="s">
        <v>575</v>
      </c>
      <c r="C263" s="20" t="s">
        <v>576</v>
      </c>
      <c r="D263" s="2">
        <v>1.3</v>
      </c>
      <c r="E263" s="21"/>
      <c r="F263" s="2">
        <f t="shared" si="7"/>
        <v>0</v>
      </c>
      <c r="G263" s="3" t="str">
        <f>HYPERLINK("http://tmmp-catalog.com.ua/katalog/8/16970/","фото")</f>
        <v>фото</v>
      </c>
      <c r="H263" s="22"/>
    </row>
    <row r="264" spans="1:8" ht="15" x14ac:dyDescent="0.2">
      <c r="A264" s="18">
        <v>2000000034904</v>
      </c>
      <c r="B264" s="19" t="s">
        <v>577</v>
      </c>
      <c r="C264" s="20" t="s">
        <v>578</v>
      </c>
      <c r="D264" s="2">
        <v>6.5</v>
      </c>
      <c r="E264" s="21"/>
      <c r="F264" s="2">
        <f t="shared" si="7"/>
        <v>0</v>
      </c>
      <c r="G264" s="3" t="str">
        <f>HYPERLINK("http://tmmp-catalog.com.ua/katalog/9/13109/","фото")</f>
        <v>фото</v>
      </c>
      <c r="H264" s="22"/>
    </row>
    <row r="265" spans="1:8" ht="15" x14ac:dyDescent="0.2">
      <c r="A265" s="18"/>
      <c r="B265" s="19" t="s">
        <v>579</v>
      </c>
      <c r="C265" s="20" t="s">
        <v>580</v>
      </c>
      <c r="D265" s="2">
        <v>7.5</v>
      </c>
      <c r="E265" s="21"/>
      <c r="F265" s="2">
        <f t="shared" si="7"/>
        <v>0</v>
      </c>
      <c r="G265" s="3" t="str">
        <f>HYPERLINK("http://tmmp-catalog.com.ua/katalog/37/18597/","фото")</f>
        <v>фото</v>
      </c>
      <c r="H265" s="22"/>
    </row>
    <row r="266" spans="1:8" ht="15" x14ac:dyDescent="0.2">
      <c r="A266" s="18">
        <v>2000000030692</v>
      </c>
      <c r="B266" s="19" t="s">
        <v>581</v>
      </c>
      <c r="C266" s="20" t="s">
        <v>582</v>
      </c>
      <c r="D266" s="2">
        <v>6.5</v>
      </c>
      <c r="E266" s="21"/>
      <c r="F266" s="2">
        <f t="shared" si="7"/>
        <v>0</v>
      </c>
      <c r="G266" s="3" t="str">
        <f>HYPERLINK("http://tmmp-catalog.com.ua/katalog/8/13273/","фото")</f>
        <v>фото</v>
      </c>
      <c r="H266" s="22"/>
    </row>
    <row r="267" spans="1:8" ht="15" x14ac:dyDescent="0.2">
      <c r="A267" s="18"/>
      <c r="B267" s="19" t="s">
        <v>583</v>
      </c>
      <c r="C267" s="20" t="s">
        <v>584</v>
      </c>
      <c r="D267" s="2">
        <v>7.4</v>
      </c>
      <c r="E267" s="21"/>
      <c r="F267" s="2">
        <f t="shared" si="7"/>
        <v>0</v>
      </c>
      <c r="G267" s="3" t="str">
        <f>HYPERLINK("http://tmmp-catalog.com.ua/katalog/8/17434/","фото")</f>
        <v>фото</v>
      </c>
      <c r="H267" s="22"/>
    </row>
    <row r="268" spans="1:8" ht="15" x14ac:dyDescent="0.2">
      <c r="A268" s="18">
        <v>2000000002200</v>
      </c>
      <c r="B268" s="19" t="s">
        <v>585</v>
      </c>
      <c r="C268" s="20" t="s">
        <v>586</v>
      </c>
      <c r="D268" s="2">
        <v>6</v>
      </c>
      <c r="E268" s="21"/>
      <c r="F268" s="2">
        <f t="shared" si="7"/>
        <v>0</v>
      </c>
      <c r="G268" s="3" t="str">
        <f>HYPERLINK("http://tmmp-catalog.com.ua/katalog/10/14569/","фото")</f>
        <v>фото</v>
      </c>
      <c r="H268" s="22"/>
    </row>
    <row r="269" spans="1:8" ht="15" x14ac:dyDescent="0.2">
      <c r="A269" s="18"/>
      <c r="B269" s="19" t="s">
        <v>587</v>
      </c>
      <c r="C269" s="20" t="s">
        <v>588</v>
      </c>
      <c r="D269" s="2">
        <v>26.75</v>
      </c>
      <c r="E269" s="21"/>
      <c r="F269" s="2">
        <f t="shared" si="7"/>
        <v>0</v>
      </c>
      <c r="G269" s="3" t="str">
        <f>HYPERLINK("http://tmmp-catalog.com.ua/katalog/8/18184/","фото")</f>
        <v>фото</v>
      </c>
      <c r="H269" s="22"/>
    </row>
    <row r="270" spans="1:8" ht="15" x14ac:dyDescent="0.2">
      <c r="A270" s="18"/>
      <c r="B270" s="19" t="s">
        <v>589</v>
      </c>
      <c r="C270" s="20" t="s">
        <v>590</v>
      </c>
      <c r="D270" s="2">
        <v>31</v>
      </c>
      <c r="E270" s="21"/>
      <c r="F270" s="2">
        <f t="shared" si="7"/>
        <v>0</v>
      </c>
      <c r="G270" s="3" t="str">
        <f>HYPERLINK("http://tmmp-catalog.com.ua/katalog/8/18183/","фото")</f>
        <v>фото</v>
      </c>
      <c r="H270" s="22"/>
    </row>
    <row r="271" spans="1:8" ht="15" x14ac:dyDescent="0.2">
      <c r="A271" s="18">
        <v>2000000034638</v>
      </c>
      <c r="B271" s="19" t="s">
        <v>591</v>
      </c>
      <c r="C271" s="20" t="s">
        <v>592</v>
      </c>
      <c r="D271" s="2">
        <v>26</v>
      </c>
      <c r="E271" s="21"/>
      <c r="F271" s="2">
        <f t="shared" si="7"/>
        <v>0</v>
      </c>
      <c r="G271" s="3" t="str">
        <f>HYPERLINK("http://tmmp-catalog.com.ua/katalog/8/16986/","фото")</f>
        <v>фото</v>
      </c>
      <c r="H271" s="22"/>
    </row>
    <row r="272" spans="1:8" ht="15" x14ac:dyDescent="0.2">
      <c r="A272" s="18">
        <v>2000000030739</v>
      </c>
      <c r="B272" s="19" t="s">
        <v>593</v>
      </c>
      <c r="C272" s="20" t="s">
        <v>594</v>
      </c>
      <c r="D272" s="2">
        <v>30</v>
      </c>
      <c r="E272" s="21"/>
      <c r="F272" s="2">
        <f t="shared" si="7"/>
        <v>0</v>
      </c>
      <c r="G272" s="3" t="str">
        <f>HYPERLINK("http://tmmp-catalog.com.ua/katalog/8/13277/","фото")</f>
        <v>фото</v>
      </c>
      <c r="H272" s="22"/>
    </row>
    <row r="273" spans="1:8" ht="15" x14ac:dyDescent="0.2">
      <c r="A273" s="18">
        <v>2000000030753</v>
      </c>
      <c r="B273" s="19" t="s">
        <v>595</v>
      </c>
      <c r="C273" s="20" t="s">
        <v>596</v>
      </c>
      <c r="D273" s="2">
        <v>1.1000000000000001</v>
      </c>
      <c r="E273" s="21"/>
      <c r="F273" s="2">
        <f t="shared" si="7"/>
        <v>0</v>
      </c>
      <c r="G273" s="3" t="str">
        <f>HYPERLINK("http://tmmp-catalog.com.ua/katalog/8/13279/","фото")</f>
        <v>фото</v>
      </c>
      <c r="H273" s="22"/>
    </row>
    <row r="274" spans="1:8" ht="15" x14ac:dyDescent="0.2">
      <c r="A274" s="18">
        <v>2000000034911</v>
      </c>
      <c r="B274" s="19" t="s">
        <v>597</v>
      </c>
      <c r="C274" s="20" t="s">
        <v>598</v>
      </c>
      <c r="D274" s="2">
        <v>2.15</v>
      </c>
      <c r="E274" s="21"/>
      <c r="F274" s="2">
        <f t="shared" si="7"/>
        <v>0</v>
      </c>
      <c r="G274" s="3" t="str">
        <f>HYPERLINK("http://tmmp-catalog.com.ua/katalog/9/13110/","фото")</f>
        <v>фото</v>
      </c>
      <c r="H274" s="22"/>
    </row>
    <row r="275" spans="1:8" ht="15" x14ac:dyDescent="0.2">
      <c r="A275" s="18">
        <v>2000000034423</v>
      </c>
      <c r="B275" s="19" t="s">
        <v>599</v>
      </c>
      <c r="C275" s="20" t="s">
        <v>600</v>
      </c>
      <c r="D275" s="2">
        <v>2.2000000000000002</v>
      </c>
      <c r="E275" s="21"/>
      <c r="F275" s="2">
        <f t="shared" si="7"/>
        <v>0</v>
      </c>
      <c r="G275" s="3" t="str">
        <f>HYPERLINK("http://tmmp-catalog.com.ua/katalog/8/16964/","фото")</f>
        <v>фото</v>
      </c>
      <c r="H275" s="22"/>
    </row>
    <row r="276" spans="1:8" ht="15" x14ac:dyDescent="0.2">
      <c r="A276" s="18">
        <v>2000000030791</v>
      </c>
      <c r="B276" s="19" t="s">
        <v>601</v>
      </c>
      <c r="C276" s="20" t="s">
        <v>602</v>
      </c>
      <c r="D276" s="2">
        <v>0.95</v>
      </c>
      <c r="E276" s="21"/>
      <c r="F276" s="2">
        <f t="shared" si="7"/>
        <v>0</v>
      </c>
      <c r="G276" s="3" t="str">
        <f>HYPERLINK("http://tmmp-catalog.com.ua/katalog/8/13283/","фото")</f>
        <v>фото</v>
      </c>
      <c r="H276" s="22"/>
    </row>
    <row r="277" spans="1:8" ht="15" x14ac:dyDescent="0.2">
      <c r="A277" s="18">
        <v>2000000002217</v>
      </c>
      <c r="B277" s="19" t="s">
        <v>603</v>
      </c>
      <c r="C277" s="20" t="s">
        <v>604</v>
      </c>
      <c r="D277" s="2">
        <v>5</v>
      </c>
      <c r="E277" s="21"/>
      <c r="F277" s="2">
        <f t="shared" si="7"/>
        <v>0</v>
      </c>
      <c r="G277" s="3" t="str">
        <f>HYPERLINK("http://tmmp-catalog.com.ua/katalog/10/14570/","фото")</f>
        <v>фото</v>
      </c>
      <c r="H277" s="22"/>
    </row>
    <row r="278" spans="1:8" ht="15" x14ac:dyDescent="0.2">
      <c r="A278" s="18">
        <v>2000000002224</v>
      </c>
      <c r="B278" s="19" t="s">
        <v>605</v>
      </c>
      <c r="C278" s="20" t="s">
        <v>606</v>
      </c>
      <c r="D278" s="2">
        <v>0.3</v>
      </c>
      <c r="E278" s="21"/>
      <c r="F278" s="2">
        <f t="shared" si="7"/>
        <v>0</v>
      </c>
      <c r="G278" s="3" t="str">
        <f>HYPERLINK("http://tmmp-catalog.com.ua/katalog/10/14571/","фото")</f>
        <v>фото</v>
      </c>
      <c r="H278" s="22"/>
    </row>
    <row r="279" spans="1:8" ht="15" x14ac:dyDescent="0.2">
      <c r="A279" s="18">
        <v>2000000002231</v>
      </c>
      <c r="B279" s="19" t="s">
        <v>607</v>
      </c>
      <c r="C279" s="20" t="s">
        <v>608</v>
      </c>
      <c r="D279" s="2">
        <v>0.3</v>
      </c>
      <c r="E279" s="21"/>
      <c r="F279" s="2">
        <f t="shared" si="7"/>
        <v>0</v>
      </c>
      <c r="G279" s="3" t="str">
        <f>HYPERLINK("http://tmmp-catalog.com.ua/katalog/10/14572/","фото")</f>
        <v>фото</v>
      </c>
      <c r="H279" s="22"/>
    </row>
    <row r="280" spans="1:8" ht="15" x14ac:dyDescent="0.2">
      <c r="A280" s="18">
        <v>2000000002248</v>
      </c>
      <c r="B280" s="19" t="s">
        <v>609</v>
      </c>
      <c r="C280" s="20" t="s">
        <v>610</v>
      </c>
      <c r="D280" s="2">
        <v>0.35</v>
      </c>
      <c r="E280" s="21"/>
      <c r="F280" s="2">
        <f t="shared" si="7"/>
        <v>0</v>
      </c>
      <c r="G280" s="3" t="str">
        <f>HYPERLINK("http://tmmp-catalog.com.ua/katalog/10/14573/","фото")</f>
        <v>фото</v>
      </c>
      <c r="H280" s="22"/>
    </row>
    <row r="281" spans="1:8" ht="15" x14ac:dyDescent="0.2">
      <c r="A281" s="18">
        <v>2000000002255</v>
      </c>
      <c r="B281" s="19" t="s">
        <v>611</v>
      </c>
      <c r="C281" s="20" t="s">
        <v>612</v>
      </c>
      <c r="D281" s="2">
        <v>0.3</v>
      </c>
      <c r="E281" s="21"/>
      <c r="F281" s="2">
        <f t="shared" si="7"/>
        <v>0</v>
      </c>
      <c r="G281" s="3" t="str">
        <f>HYPERLINK("http://tmmp-catalog.com.ua/katalog/10/14574/","фото")</f>
        <v>фото</v>
      </c>
      <c r="H281" s="22"/>
    </row>
    <row r="282" spans="1:8" ht="15" x14ac:dyDescent="0.2">
      <c r="A282" s="18">
        <v>2000000002262</v>
      </c>
      <c r="B282" s="19" t="s">
        <v>613</v>
      </c>
      <c r="C282" s="20" t="s">
        <v>614</v>
      </c>
      <c r="D282" s="2">
        <v>0.3</v>
      </c>
      <c r="E282" s="21"/>
      <c r="F282" s="2">
        <f t="shared" si="7"/>
        <v>0</v>
      </c>
      <c r="G282" s="3" t="str">
        <f>HYPERLINK("http://tmmp-catalog.com.ua/katalog/10/14575/","фото")</f>
        <v>фото</v>
      </c>
      <c r="H282" s="22"/>
    </row>
    <row r="283" spans="1:8" ht="15" x14ac:dyDescent="0.2">
      <c r="A283" s="18">
        <v>2000000030821</v>
      </c>
      <c r="B283" s="19" t="s">
        <v>615</v>
      </c>
      <c r="C283" s="20" t="s">
        <v>616</v>
      </c>
      <c r="D283" s="2">
        <v>18</v>
      </c>
      <c r="E283" s="21"/>
      <c r="F283" s="2">
        <f t="shared" si="7"/>
        <v>0</v>
      </c>
      <c r="G283" s="3" t="str">
        <f>HYPERLINK("http://tmmp-catalog.com.ua/katalog/8/13286/","фото")</f>
        <v>фото</v>
      </c>
      <c r="H283" s="22"/>
    </row>
    <row r="284" spans="1:8" ht="15" x14ac:dyDescent="0.2">
      <c r="A284" s="18"/>
      <c r="B284" s="19" t="s">
        <v>617</v>
      </c>
      <c r="C284" s="20" t="s">
        <v>618</v>
      </c>
      <c r="D284" s="2">
        <v>9</v>
      </c>
      <c r="E284" s="21"/>
      <c r="F284" s="2">
        <f t="shared" si="7"/>
        <v>0</v>
      </c>
      <c r="G284" s="3" t="str">
        <f>HYPERLINK("http://tmmp-catalog.com.ua/katalog/37/18319/","фото")</f>
        <v>фото</v>
      </c>
      <c r="H284" s="22"/>
    </row>
    <row r="285" spans="1:8" ht="15" x14ac:dyDescent="0.2">
      <c r="A285" s="18">
        <v>2000000030845</v>
      </c>
      <c r="B285" s="19" t="s">
        <v>619</v>
      </c>
      <c r="C285" s="20" t="s">
        <v>620</v>
      </c>
      <c r="D285" s="2">
        <v>9</v>
      </c>
      <c r="E285" s="21"/>
      <c r="F285" s="2">
        <f t="shared" si="7"/>
        <v>0</v>
      </c>
      <c r="G285" s="3" t="str">
        <f>HYPERLINK("http://tmmp-catalog.com.ua/katalog/8/13288/","фото")</f>
        <v>фото</v>
      </c>
      <c r="H285" s="22"/>
    </row>
    <row r="286" spans="1:8" ht="15" x14ac:dyDescent="0.2">
      <c r="A286" s="18"/>
      <c r="B286" s="19" t="s">
        <v>621</v>
      </c>
      <c r="C286" s="20" t="s">
        <v>622</v>
      </c>
      <c r="D286" s="2">
        <v>14</v>
      </c>
      <c r="E286" s="21"/>
      <c r="F286" s="2">
        <f t="shared" si="7"/>
        <v>0</v>
      </c>
      <c r="G286" s="3" t="str">
        <f>HYPERLINK("http://tmmp-catalog.com.ua/katalog/37/18783/","фото")</f>
        <v>фото</v>
      </c>
      <c r="H286" s="22"/>
    </row>
    <row r="287" spans="1:8" ht="15" x14ac:dyDescent="0.2">
      <c r="A287" s="18">
        <v>2000000030852</v>
      </c>
      <c r="B287" s="19" t="s">
        <v>623</v>
      </c>
      <c r="C287" s="20" t="s">
        <v>624</v>
      </c>
      <c r="D287" s="2">
        <v>2</v>
      </c>
      <c r="E287" s="21"/>
      <c r="F287" s="2">
        <f t="shared" si="7"/>
        <v>0</v>
      </c>
      <c r="G287" s="3" t="str">
        <f>HYPERLINK("http://tmmp-catalog.com.ua/katalog/8/13289/","фото")</f>
        <v>фото</v>
      </c>
      <c r="H287" s="22"/>
    </row>
    <row r="288" spans="1:8" ht="15" x14ac:dyDescent="0.2">
      <c r="A288" s="18"/>
      <c r="B288" s="19" t="s">
        <v>625</v>
      </c>
      <c r="C288" s="20" t="s">
        <v>626</v>
      </c>
      <c r="D288" s="2">
        <v>1.6</v>
      </c>
      <c r="E288" s="21"/>
      <c r="F288" s="2">
        <f t="shared" si="7"/>
        <v>0</v>
      </c>
      <c r="G288" s="3" t="str">
        <f>HYPERLINK("http://tmmp-catalog.com.ua/katalog/8/18744/","фото")</f>
        <v>фото</v>
      </c>
      <c r="H288" s="22"/>
    </row>
    <row r="289" spans="1:8" ht="15" x14ac:dyDescent="0.2">
      <c r="A289" s="18"/>
      <c r="B289" s="19" t="s">
        <v>627</v>
      </c>
      <c r="C289" s="20" t="s">
        <v>628</v>
      </c>
      <c r="D289" s="2">
        <v>2</v>
      </c>
      <c r="E289" s="21"/>
      <c r="F289" s="2">
        <f t="shared" si="7"/>
        <v>0</v>
      </c>
      <c r="G289" s="3" t="str">
        <f>HYPERLINK("http://tmmp-catalog.com.ua/katalog/8/17550/","фото")</f>
        <v>фото</v>
      </c>
      <c r="H289" s="22"/>
    </row>
    <row r="290" spans="1:8" ht="15" x14ac:dyDescent="0.2">
      <c r="A290" s="18"/>
      <c r="B290" s="19" t="s">
        <v>629</v>
      </c>
      <c r="C290" s="20" t="s">
        <v>630</v>
      </c>
      <c r="D290" s="2">
        <v>0.9</v>
      </c>
      <c r="E290" s="21"/>
      <c r="F290" s="2">
        <f t="shared" si="7"/>
        <v>0</v>
      </c>
      <c r="G290" s="3" t="str">
        <f>HYPERLINK("http://tmmp-catalog.com.ua/katalog/8/17171/","фото")</f>
        <v>фото</v>
      </c>
      <c r="H290" s="22"/>
    </row>
    <row r="291" spans="1:8" ht="15" x14ac:dyDescent="0.2">
      <c r="A291" s="18">
        <v>2000000030869</v>
      </c>
      <c r="B291" s="19" t="s">
        <v>631</v>
      </c>
      <c r="C291" s="20" t="s">
        <v>632</v>
      </c>
      <c r="D291" s="2">
        <v>0.6</v>
      </c>
      <c r="E291" s="21"/>
      <c r="F291" s="2">
        <f t="shared" si="7"/>
        <v>0</v>
      </c>
      <c r="G291" s="3" t="str">
        <f>HYPERLINK("http://tmmp-catalog.com.ua/katalog/8/13290/","фото")</f>
        <v>фото</v>
      </c>
      <c r="H291" s="22"/>
    </row>
    <row r="292" spans="1:8" ht="15" x14ac:dyDescent="0.2">
      <c r="A292" s="18">
        <v>2000000030876</v>
      </c>
      <c r="B292" s="19" t="s">
        <v>633</v>
      </c>
      <c r="C292" s="20" t="s">
        <v>634</v>
      </c>
      <c r="D292" s="2">
        <v>0.6</v>
      </c>
      <c r="E292" s="21"/>
      <c r="F292" s="2">
        <f t="shared" si="7"/>
        <v>0</v>
      </c>
      <c r="G292" s="3" t="str">
        <f>HYPERLINK("http://tmmp-catalog.com.ua/katalog/8/13291/","фото")</f>
        <v>фото</v>
      </c>
      <c r="H292" s="22"/>
    </row>
    <row r="293" spans="1:8" ht="15" x14ac:dyDescent="0.2">
      <c r="A293" s="18"/>
      <c r="B293" s="19" t="s">
        <v>635</v>
      </c>
      <c r="C293" s="20" t="s">
        <v>636</v>
      </c>
      <c r="D293" s="2">
        <v>0.9</v>
      </c>
      <c r="E293" s="21"/>
      <c r="F293" s="2">
        <f t="shared" si="7"/>
        <v>0</v>
      </c>
      <c r="G293" s="3" t="str">
        <f>HYPERLINK("http://tmmp-catalog.com.ua/katalog/37/18320/","фото")</f>
        <v>фото</v>
      </c>
      <c r="H293" s="22"/>
    </row>
    <row r="294" spans="1:8" ht="15" x14ac:dyDescent="0.2">
      <c r="A294" s="18">
        <v>2000000030883</v>
      </c>
      <c r="B294" s="19" t="s">
        <v>637</v>
      </c>
      <c r="C294" s="20" t="s">
        <v>638</v>
      </c>
      <c r="D294" s="2">
        <v>0.6</v>
      </c>
      <c r="E294" s="21"/>
      <c r="F294" s="2">
        <f t="shared" si="7"/>
        <v>0</v>
      </c>
      <c r="G294" s="3" t="str">
        <f>HYPERLINK("http://tmmp-catalog.com.ua/katalog/8/13292/","фото")</f>
        <v>фото</v>
      </c>
      <c r="H294" s="22"/>
    </row>
    <row r="295" spans="1:8" ht="15" x14ac:dyDescent="0.2">
      <c r="A295" s="18">
        <v>2000000030890</v>
      </c>
      <c r="B295" s="19" t="s">
        <v>639</v>
      </c>
      <c r="C295" s="20" t="s">
        <v>640</v>
      </c>
      <c r="D295" s="2">
        <v>0.5</v>
      </c>
      <c r="E295" s="21"/>
      <c r="F295" s="2">
        <f t="shared" si="7"/>
        <v>0</v>
      </c>
      <c r="G295" s="3" t="str">
        <f>HYPERLINK("http://tmmp-catalog.com.ua/katalog/8/13293/","фото")</f>
        <v>фото</v>
      </c>
      <c r="H295" s="22"/>
    </row>
    <row r="296" spans="1:8" ht="15" x14ac:dyDescent="0.2">
      <c r="A296" s="18">
        <v>2000000031026</v>
      </c>
      <c r="B296" s="19" t="s">
        <v>641</v>
      </c>
      <c r="C296" s="20" t="s">
        <v>642</v>
      </c>
      <c r="D296" s="2">
        <v>1</v>
      </c>
      <c r="E296" s="21"/>
      <c r="F296" s="2">
        <f t="shared" si="7"/>
        <v>0</v>
      </c>
      <c r="G296" s="3" t="str">
        <f>HYPERLINK("http://tmmp-catalog.com.ua/katalog/8/13307/","фото")</f>
        <v>фото</v>
      </c>
      <c r="H296" s="22"/>
    </row>
    <row r="297" spans="1:8" ht="15" x14ac:dyDescent="0.2">
      <c r="A297" s="18">
        <v>2000000030968</v>
      </c>
      <c r="B297" s="19" t="s">
        <v>643</v>
      </c>
      <c r="C297" s="20" t="s">
        <v>644</v>
      </c>
      <c r="D297" s="2">
        <v>0.6</v>
      </c>
      <c r="E297" s="21"/>
      <c r="F297" s="2">
        <f t="shared" si="7"/>
        <v>0</v>
      </c>
      <c r="G297" s="3" t="str">
        <f>HYPERLINK("http://tmmp-catalog.com.ua/katalog/8/13300/","фото")</f>
        <v>фото</v>
      </c>
      <c r="H297" s="22"/>
    </row>
    <row r="298" spans="1:8" ht="15" x14ac:dyDescent="0.2">
      <c r="A298" s="18">
        <v>2000000030975</v>
      </c>
      <c r="B298" s="19" t="s">
        <v>645</v>
      </c>
      <c r="C298" s="20" t="s">
        <v>646</v>
      </c>
      <c r="D298" s="2">
        <v>0.6</v>
      </c>
      <c r="E298" s="21"/>
      <c r="F298" s="2">
        <f t="shared" si="7"/>
        <v>0</v>
      </c>
      <c r="G298" s="3" t="str">
        <f>HYPERLINK("http://tmmp-catalog.com.ua/katalog/8/13301/","фото")</f>
        <v>фото</v>
      </c>
      <c r="H298" s="22"/>
    </row>
    <row r="299" spans="1:8" ht="15" x14ac:dyDescent="0.2">
      <c r="A299" s="18">
        <v>2000000030982</v>
      </c>
      <c r="B299" s="19" t="s">
        <v>647</v>
      </c>
      <c r="C299" s="20" t="s">
        <v>648</v>
      </c>
      <c r="D299" s="2">
        <v>0.6</v>
      </c>
      <c r="E299" s="21"/>
      <c r="F299" s="2">
        <f t="shared" si="7"/>
        <v>0</v>
      </c>
      <c r="G299" s="3" t="str">
        <f>HYPERLINK("http://tmmp-catalog.com.ua/katalog/8/13302/","фото")</f>
        <v>фото</v>
      </c>
      <c r="H299" s="22"/>
    </row>
    <row r="300" spans="1:8" ht="15" x14ac:dyDescent="0.2">
      <c r="A300" s="18">
        <v>2000000031033</v>
      </c>
      <c r="B300" s="19" t="s">
        <v>649</v>
      </c>
      <c r="C300" s="20" t="s">
        <v>650</v>
      </c>
      <c r="D300" s="2">
        <v>1.3</v>
      </c>
      <c r="E300" s="21"/>
      <c r="F300" s="2">
        <f t="shared" si="7"/>
        <v>0</v>
      </c>
      <c r="G300" s="3" t="str">
        <f>HYPERLINK("http://tmmp-catalog.com.ua/katalog/8/13308/","фото")</f>
        <v>фото</v>
      </c>
      <c r="H300" s="22"/>
    </row>
    <row r="301" spans="1:8" ht="15" x14ac:dyDescent="0.2">
      <c r="A301" s="18">
        <v>2000000031057</v>
      </c>
      <c r="B301" s="19" t="s">
        <v>651</v>
      </c>
      <c r="C301" s="20" t="s">
        <v>652</v>
      </c>
      <c r="D301" s="2">
        <v>0.6</v>
      </c>
      <c r="E301" s="21"/>
      <c r="F301" s="2">
        <f t="shared" si="7"/>
        <v>0</v>
      </c>
      <c r="G301" s="3" t="str">
        <f>HYPERLINK("http://tmmp-catalog.com.ua/katalog/8/13310/","фото")</f>
        <v>фото</v>
      </c>
      <c r="H301" s="22"/>
    </row>
    <row r="302" spans="1:8" ht="15" x14ac:dyDescent="0.2">
      <c r="A302" s="18">
        <v>2000000031064</v>
      </c>
      <c r="B302" s="19" t="s">
        <v>653</v>
      </c>
      <c r="C302" s="20" t="s">
        <v>654</v>
      </c>
      <c r="D302" s="2">
        <v>0.6</v>
      </c>
      <c r="E302" s="21"/>
      <c r="F302" s="2">
        <f t="shared" si="7"/>
        <v>0</v>
      </c>
      <c r="G302" s="3" t="str">
        <f>HYPERLINK("http://tmmp-catalog.com.ua/katalog/8/13311/","фото")</f>
        <v>фото</v>
      </c>
      <c r="H302" s="22"/>
    </row>
    <row r="303" spans="1:8" ht="15" x14ac:dyDescent="0.2">
      <c r="A303" s="18"/>
      <c r="B303" s="19" t="s">
        <v>655</v>
      </c>
      <c r="C303" s="20" t="s">
        <v>656</v>
      </c>
      <c r="D303" s="2">
        <v>1</v>
      </c>
      <c r="E303" s="21"/>
      <c r="F303" s="2">
        <f t="shared" si="7"/>
        <v>0</v>
      </c>
      <c r="G303" s="3" t="str">
        <f>HYPERLINK("http://tmmp-catalog.com.ua/katalog/37/18322/","фото")</f>
        <v>фото</v>
      </c>
      <c r="H303" s="22"/>
    </row>
    <row r="304" spans="1:8" ht="15" x14ac:dyDescent="0.2">
      <c r="A304" s="18">
        <v>2000000031071</v>
      </c>
      <c r="B304" s="19" t="s">
        <v>657</v>
      </c>
      <c r="C304" s="20" t="s">
        <v>658</v>
      </c>
      <c r="D304" s="2">
        <v>0.6</v>
      </c>
      <c r="E304" s="21"/>
      <c r="F304" s="2">
        <f t="shared" si="7"/>
        <v>0</v>
      </c>
      <c r="G304" s="3" t="str">
        <f>HYPERLINK("http://tmmp-catalog.com.ua/katalog/8/13312/","фото")</f>
        <v>фото</v>
      </c>
      <c r="H304" s="22"/>
    </row>
    <row r="305" spans="1:8" ht="15" x14ac:dyDescent="0.2">
      <c r="A305" s="18">
        <v>2000000031088</v>
      </c>
      <c r="B305" s="19" t="s">
        <v>659</v>
      </c>
      <c r="C305" s="20" t="s">
        <v>660</v>
      </c>
      <c r="D305" s="2">
        <v>0.6</v>
      </c>
      <c r="E305" s="21"/>
      <c r="F305" s="2">
        <f t="shared" si="7"/>
        <v>0</v>
      </c>
      <c r="G305" s="3" t="str">
        <f>HYPERLINK("http://tmmp-catalog.com.ua/katalog/8/13313/","фото")</f>
        <v>фото</v>
      </c>
      <c r="H305" s="22"/>
    </row>
    <row r="306" spans="1:8" ht="15" x14ac:dyDescent="0.2">
      <c r="A306" s="18">
        <v>2000000031095</v>
      </c>
      <c r="B306" s="19" t="s">
        <v>661</v>
      </c>
      <c r="C306" s="20" t="s">
        <v>662</v>
      </c>
      <c r="D306" s="2">
        <v>1.3</v>
      </c>
      <c r="E306" s="21"/>
      <c r="F306" s="2">
        <f t="shared" si="7"/>
        <v>0</v>
      </c>
      <c r="G306" s="3" t="str">
        <f>HYPERLINK("http://tmmp-catalog.com.ua/katalog/8/13314/","фото")</f>
        <v>фото</v>
      </c>
      <c r="H306" s="22"/>
    </row>
    <row r="307" spans="1:8" ht="15" x14ac:dyDescent="0.2">
      <c r="A307" s="18">
        <v>2000000031101</v>
      </c>
      <c r="B307" s="19" t="s">
        <v>663</v>
      </c>
      <c r="C307" s="20" t="s">
        <v>664</v>
      </c>
      <c r="D307" s="2">
        <v>0.6</v>
      </c>
      <c r="E307" s="21"/>
      <c r="F307" s="2">
        <f t="shared" si="7"/>
        <v>0</v>
      </c>
      <c r="G307" s="3" t="str">
        <f>HYPERLINK("http://tmmp-catalog.com.ua/katalog/8/13315/","фото")</f>
        <v>фото</v>
      </c>
      <c r="H307" s="22"/>
    </row>
    <row r="308" spans="1:8" ht="15" x14ac:dyDescent="0.2">
      <c r="A308" s="18">
        <v>2000000030913</v>
      </c>
      <c r="B308" s="19" t="s">
        <v>665</v>
      </c>
      <c r="C308" s="20" t="s">
        <v>666</v>
      </c>
      <c r="D308" s="2">
        <v>0.6</v>
      </c>
      <c r="E308" s="21"/>
      <c r="F308" s="2">
        <f t="shared" si="7"/>
        <v>0</v>
      </c>
      <c r="G308" s="3" t="str">
        <f>HYPERLINK("http://tmmp-catalog.com.ua/katalog/8/13295/","фото")</f>
        <v>фото</v>
      </c>
      <c r="H308" s="22"/>
    </row>
    <row r="309" spans="1:8" ht="15" x14ac:dyDescent="0.2">
      <c r="A309" s="18">
        <v>2000000030920</v>
      </c>
      <c r="B309" s="19" t="s">
        <v>667</v>
      </c>
      <c r="C309" s="20" t="s">
        <v>668</v>
      </c>
      <c r="D309" s="2">
        <v>0.6</v>
      </c>
      <c r="E309" s="21"/>
      <c r="F309" s="2">
        <f t="shared" si="7"/>
        <v>0</v>
      </c>
      <c r="G309" s="3" t="str">
        <f>HYPERLINK("http://tmmp-catalog.com.ua/katalog/8/13296/","фото")</f>
        <v>фото</v>
      </c>
      <c r="H309" s="22"/>
    </row>
    <row r="310" spans="1:8" ht="15" x14ac:dyDescent="0.2">
      <c r="A310" s="18">
        <v>2000000030937</v>
      </c>
      <c r="B310" s="19" t="s">
        <v>669</v>
      </c>
      <c r="C310" s="20" t="s">
        <v>670</v>
      </c>
      <c r="D310" s="2">
        <v>0.5</v>
      </c>
      <c r="E310" s="21"/>
      <c r="F310" s="2">
        <f t="shared" si="7"/>
        <v>0</v>
      </c>
      <c r="G310" s="3" t="str">
        <f>HYPERLINK("http://tmmp-catalog.com.ua/katalog/8/13297/","фото")</f>
        <v>фото</v>
      </c>
      <c r="H310" s="22"/>
    </row>
    <row r="311" spans="1:8" ht="15" x14ac:dyDescent="0.2">
      <c r="A311" s="18">
        <v>2000000030944</v>
      </c>
      <c r="B311" s="19" t="s">
        <v>671</v>
      </c>
      <c r="C311" s="20" t="s">
        <v>672</v>
      </c>
      <c r="D311" s="2">
        <v>0.5</v>
      </c>
      <c r="E311" s="21"/>
      <c r="F311" s="2">
        <f t="shared" si="7"/>
        <v>0</v>
      </c>
      <c r="G311" s="3" t="str">
        <f>HYPERLINK("http://tmmp-catalog.com.ua/katalog/8/13298/","фото")</f>
        <v>фото</v>
      </c>
      <c r="H311" s="22"/>
    </row>
    <row r="312" spans="1:8" ht="15" x14ac:dyDescent="0.2">
      <c r="A312" s="18"/>
      <c r="B312" s="19" t="s">
        <v>673</v>
      </c>
      <c r="C312" s="20" t="s">
        <v>674</v>
      </c>
      <c r="D312" s="2">
        <v>0.7</v>
      </c>
      <c r="E312" s="21"/>
      <c r="F312" s="2">
        <f t="shared" si="7"/>
        <v>0</v>
      </c>
      <c r="G312" s="3" t="str">
        <f>HYPERLINK("http://tmmp-catalog.com.ua/katalog/37/18323/","фото")</f>
        <v>фото</v>
      </c>
      <c r="H312" s="22"/>
    </row>
    <row r="313" spans="1:8" ht="15" x14ac:dyDescent="0.2">
      <c r="A313" s="18">
        <v>2000000002286</v>
      </c>
      <c r="B313" s="19" t="s">
        <v>675</v>
      </c>
      <c r="C313" s="20" t="s">
        <v>676</v>
      </c>
      <c r="D313" s="2">
        <v>2.5</v>
      </c>
      <c r="E313" s="21"/>
      <c r="F313" s="2">
        <f t="shared" ref="F313:F376" si="8">cena*zakaz</f>
        <v>0</v>
      </c>
      <c r="G313" s="3" t="str">
        <f>HYPERLINK("http://tmmp-catalog.com.ua/katalog/10/14577/","фото")</f>
        <v>фото</v>
      </c>
      <c r="H313" s="22"/>
    </row>
    <row r="314" spans="1:8" ht="15" x14ac:dyDescent="0.2">
      <c r="A314" s="18">
        <v>2000000033938</v>
      </c>
      <c r="B314" s="19" t="s">
        <v>677</v>
      </c>
      <c r="C314" s="20" t="s">
        <v>678</v>
      </c>
      <c r="D314" s="2">
        <v>5.7</v>
      </c>
      <c r="E314" s="21"/>
      <c r="F314" s="2">
        <f t="shared" si="8"/>
        <v>0</v>
      </c>
      <c r="G314" s="3" t="str">
        <f>HYPERLINK("http://tmmp-catalog.com.ua/katalog/8/16571/","фото")</f>
        <v>фото</v>
      </c>
      <c r="H314" s="22"/>
    </row>
    <row r="315" spans="1:8" ht="15" x14ac:dyDescent="0.2">
      <c r="A315" s="18">
        <v>2000000031125</v>
      </c>
      <c r="B315" s="19" t="s">
        <v>679</v>
      </c>
      <c r="C315" s="20" t="s">
        <v>680</v>
      </c>
      <c r="D315" s="2">
        <v>3.2</v>
      </c>
      <c r="E315" s="21"/>
      <c r="F315" s="2">
        <f t="shared" si="8"/>
        <v>0</v>
      </c>
      <c r="G315" s="3" t="str">
        <f>HYPERLINK("http://tmmp-catalog.com.ua/katalog/8/13317/","фото")</f>
        <v>фото</v>
      </c>
      <c r="H315" s="22"/>
    </row>
    <row r="316" spans="1:8" ht="15" x14ac:dyDescent="0.2">
      <c r="A316" s="18"/>
      <c r="B316" s="19" t="s">
        <v>681</v>
      </c>
      <c r="C316" s="20" t="s">
        <v>682</v>
      </c>
      <c r="D316" s="2">
        <v>6.5</v>
      </c>
      <c r="E316" s="21"/>
      <c r="F316" s="2">
        <f t="shared" si="8"/>
        <v>0</v>
      </c>
      <c r="G316" s="3" t="str">
        <f>HYPERLINK("http://tmmp-catalog.com.ua/katalog/37/18360/","фото")</f>
        <v>фото</v>
      </c>
      <c r="H316" s="22"/>
    </row>
    <row r="317" spans="1:8" ht="15" x14ac:dyDescent="0.2">
      <c r="A317" s="18">
        <v>2000000031132</v>
      </c>
      <c r="B317" s="19" t="s">
        <v>683</v>
      </c>
      <c r="C317" s="20" t="s">
        <v>684</v>
      </c>
      <c r="D317" s="2">
        <v>1.6</v>
      </c>
      <c r="E317" s="21"/>
      <c r="F317" s="2">
        <f t="shared" si="8"/>
        <v>0</v>
      </c>
      <c r="G317" s="3" t="str">
        <f>HYPERLINK("http://tmmp-catalog.com.ua/katalog/8/13318/","фото")</f>
        <v>фото</v>
      </c>
      <c r="H317" s="22"/>
    </row>
    <row r="318" spans="1:8" ht="15" x14ac:dyDescent="0.2">
      <c r="A318" s="18">
        <v>2000000031521</v>
      </c>
      <c r="B318" s="19" t="s">
        <v>685</v>
      </c>
      <c r="C318" s="20" t="s">
        <v>686</v>
      </c>
      <c r="D318" s="2">
        <v>0.3</v>
      </c>
      <c r="E318" s="21"/>
      <c r="F318" s="2">
        <f t="shared" si="8"/>
        <v>0</v>
      </c>
      <c r="G318" s="3" t="str">
        <f>HYPERLINK("http://tmmp-catalog.com.ua/katalog/8/13358/","фото")</f>
        <v>фото</v>
      </c>
      <c r="H318" s="22"/>
    </row>
    <row r="319" spans="1:8" ht="15" x14ac:dyDescent="0.2">
      <c r="A319" s="18">
        <v>2000000002330</v>
      </c>
      <c r="B319" s="19" t="s">
        <v>687</v>
      </c>
      <c r="C319" s="20" t="s">
        <v>688</v>
      </c>
      <c r="D319" s="2">
        <v>0.15</v>
      </c>
      <c r="E319" s="21"/>
      <c r="F319" s="2">
        <f t="shared" si="8"/>
        <v>0</v>
      </c>
      <c r="G319" s="3" t="str">
        <f>HYPERLINK("http://tmmp-catalog.com.ua/katalog/10/14582/","фото")</f>
        <v>фото</v>
      </c>
      <c r="H319" s="22"/>
    </row>
    <row r="320" spans="1:8" ht="15" x14ac:dyDescent="0.2">
      <c r="A320" s="18">
        <v>2000000002996</v>
      </c>
      <c r="B320" s="19" t="s">
        <v>689</v>
      </c>
      <c r="C320" s="20" t="s">
        <v>690</v>
      </c>
      <c r="D320" s="2">
        <v>0.55000000000000004</v>
      </c>
      <c r="E320" s="21"/>
      <c r="F320" s="2">
        <f t="shared" si="8"/>
        <v>0</v>
      </c>
      <c r="G320" s="3" t="str">
        <f>HYPERLINK("http://tmmp-catalog.com.ua/katalog/10/16608/","фото")</f>
        <v>фото</v>
      </c>
      <c r="H320" s="22"/>
    </row>
    <row r="321" spans="1:8" ht="15" x14ac:dyDescent="0.2">
      <c r="A321" s="18">
        <v>2000000034034</v>
      </c>
      <c r="B321" s="19" t="s">
        <v>691</v>
      </c>
      <c r="C321" s="20" t="s">
        <v>692</v>
      </c>
      <c r="D321" s="2">
        <v>0.1</v>
      </c>
      <c r="E321" s="21"/>
      <c r="F321" s="2">
        <f t="shared" si="8"/>
        <v>0</v>
      </c>
      <c r="G321" s="3" t="str">
        <f>HYPERLINK("http://tmmp-catalog.com.ua/katalog/8/16583/","фото")</f>
        <v>фото</v>
      </c>
      <c r="H321" s="22"/>
    </row>
    <row r="322" spans="1:8" ht="15" x14ac:dyDescent="0.2">
      <c r="A322" s="18">
        <v>2000000002293</v>
      </c>
      <c r="B322" s="19" t="s">
        <v>693</v>
      </c>
      <c r="C322" s="20" t="s">
        <v>694</v>
      </c>
      <c r="D322" s="2">
        <v>11.5</v>
      </c>
      <c r="E322" s="21"/>
      <c r="F322" s="2">
        <f t="shared" si="8"/>
        <v>0</v>
      </c>
      <c r="G322" s="3" t="str">
        <f>HYPERLINK("http://tmmp-catalog.com.ua/katalog/10/14578/","фото")</f>
        <v>фото</v>
      </c>
      <c r="H322" s="22"/>
    </row>
    <row r="323" spans="1:8" ht="15" x14ac:dyDescent="0.2">
      <c r="A323" s="18">
        <v>2000000031156</v>
      </c>
      <c r="B323" s="19" t="s">
        <v>695</v>
      </c>
      <c r="C323" s="20" t="s">
        <v>696</v>
      </c>
      <c r="D323" s="2">
        <v>8.5</v>
      </c>
      <c r="E323" s="21"/>
      <c r="F323" s="2">
        <f t="shared" si="8"/>
        <v>0</v>
      </c>
      <c r="G323" s="3" t="str">
        <f>HYPERLINK("http://tmmp-catalog.com.ua/katalog/8/13320/","фото")</f>
        <v>фото</v>
      </c>
      <c r="H323" s="22"/>
    </row>
    <row r="324" spans="1:8" ht="15" x14ac:dyDescent="0.2">
      <c r="A324" s="18">
        <v>2000000031163</v>
      </c>
      <c r="B324" s="19" t="s">
        <v>697</v>
      </c>
      <c r="C324" s="20" t="s">
        <v>698</v>
      </c>
      <c r="D324" s="2">
        <v>8.5</v>
      </c>
      <c r="E324" s="21"/>
      <c r="F324" s="2">
        <f t="shared" si="8"/>
        <v>0</v>
      </c>
      <c r="G324" s="3" t="str">
        <f>HYPERLINK("http://tmmp-catalog.com.ua/katalog/8/13321/","фото")</f>
        <v>фото</v>
      </c>
      <c r="H324" s="22"/>
    </row>
    <row r="325" spans="1:8" ht="15" x14ac:dyDescent="0.2">
      <c r="A325" s="18">
        <v>2000000031187</v>
      </c>
      <c r="B325" s="19" t="s">
        <v>699</v>
      </c>
      <c r="C325" s="20" t="s">
        <v>700</v>
      </c>
      <c r="D325" s="2">
        <v>0.35</v>
      </c>
      <c r="E325" s="21"/>
      <c r="F325" s="2">
        <f t="shared" si="8"/>
        <v>0</v>
      </c>
      <c r="G325" s="3" t="str">
        <f>HYPERLINK("http://tmmp-catalog.com.ua/katalog/8/13323/","фото")</f>
        <v>фото</v>
      </c>
      <c r="H325" s="22"/>
    </row>
    <row r="326" spans="1:8" ht="15" x14ac:dyDescent="0.2">
      <c r="A326" s="18">
        <v>2000000031194</v>
      </c>
      <c r="B326" s="19" t="s">
        <v>701</v>
      </c>
      <c r="C326" s="20" t="s">
        <v>702</v>
      </c>
      <c r="D326" s="2">
        <v>2.2999999999999998</v>
      </c>
      <c r="E326" s="21"/>
      <c r="F326" s="2">
        <f t="shared" si="8"/>
        <v>0</v>
      </c>
      <c r="G326" s="3" t="str">
        <f>HYPERLINK("http://tmmp-catalog.com.ua/katalog/8/13324/","фото")</f>
        <v>фото</v>
      </c>
      <c r="H326" s="22"/>
    </row>
    <row r="327" spans="1:8" ht="15" x14ac:dyDescent="0.2">
      <c r="A327" s="18">
        <v>2000000034829</v>
      </c>
      <c r="B327" s="19" t="s">
        <v>703</v>
      </c>
      <c r="C327" s="20" t="s">
        <v>704</v>
      </c>
      <c r="D327" s="2">
        <v>1.1499999999999999</v>
      </c>
      <c r="E327" s="21"/>
      <c r="F327" s="2">
        <f t="shared" si="8"/>
        <v>0</v>
      </c>
      <c r="G327" s="3" t="str">
        <f>HYPERLINK("http://tmmp-catalog.com.ua/katalog/9/13101/","фото")</f>
        <v>фото</v>
      </c>
      <c r="H327" s="22"/>
    </row>
    <row r="328" spans="1:8" ht="15" x14ac:dyDescent="0.2">
      <c r="A328" s="18">
        <v>2000000034652</v>
      </c>
      <c r="B328" s="19" t="s">
        <v>705</v>
      </c>
      <c r="C328" s="20" t="s">
        <v>706</v>
      </c>
      <c r="D328" s="2">
        <v>1.3</v>
      </c>
      <c r="E328" s="21"/>
      <c r="F328" s="2">
        <f t="shared" si="8"/>
        <v>0</v>
      </c>
      <c r="G328" s="3" t="str">
        <f>HYPERLINK("http://tmmp-catalog.com.ua/katalog/8/16988/","фото")</f>
        <v>фото</v>
      </c>
      <c r="H328" s="22"/>
    </row>
    <row r="329" spans="1:8" ht="15" x14ac:dyDescent="0.2">
      <c r="A329" s="18"/>
      <c r="B329" s="19" t="s">
        <v>707</v>
      </c>
      <c r="C329" s="20" t="s">
        <v>708</v>
      </c>
      <c r="D329" s="2">
        <v>0.9</v>
      </c>
      <c r="E329" s="21"/>
      <c r="F329" s="2">
        <f t="shared" si="8"/>
        <v>0</v>
      </c>
      <c r="G329" s="3" t="str">
        <f>HYPERLINK("http://tmmp-catalog.com.ua/katalog/8/18796/","фото")</f>
        <v>фото</v>
      </c>
      <c r="H329" s="22"/>
    </row>
    <row r="330" spans="1:8" ht="15" x14ac:dyDescent="0.2">
      <c r="A330" s="18">
        <v>2000000033976</v>
      </c>
      <c r="B330" s="19" t="s">
        <v>709</v>
      </c>
      <c r="C330" s="20" t="s">
        <v>710</v>
      </c>
      <c r="D330" s="2">
        <v>1.1000000000000001</v>
      </c>
      <c r="E330" s="21"/>
      <c r="F330" s="2">
        <f t="shared" si="8"/>
        <v>0</v>
      </c>
      <c r="G330" s="3" t="str">
        <f>HYPERLINK("http://tmmp-catalog.com.ua/katalog/8/16576/","фото")</f>
        <v>фото</v>
      </c>
      <c r="H330" s="22"/>
    </row>
    <row r="331" spans="1:8" ht="15" x14ac:dyDescent="0.2">
      <c r="A331" s="18">
        <v>2000000031255</v>
      </c>
      <c r="B331" s="19" t="s">
        <v>711</v>
      </c>
      <c r="C331" s="20" t="s">
        <v>712</v>
      </c>
      <c r="D331" s="2">
        <v>1.2</v>
      </c>
      <c r="E331" s="21"/>
      <c r="F331" s="2">
        <f t="shared" si="8"/>
        <v>0</v>
      </c>
      <c r="G331" s="3" t="str">
        <f>HYPERLINK("http://tmmp-catalog.com.ua/katalog/8/13330/","фото")</f>
        <v>фото</v>
      </c>
      <c r="H331" s="22"/>
    </row>
    <row r="332" spans="1:8" ht="15" x14ac:dyDescent="0.2">
      <c r="A332" s="18">
        <v>2000000031262</v>
      </c>
      <c r="B332" s="19" t="s">
        <v>713</v>
      </c>
      <c r="C332" s="20" t="s">
        <v>714</v>
      </c>
      <c r="D332" s="2">
        <v>4.2</v>
      </c>
      <c r="E332" s="21"/>
      <c r="F332" s="2">
        <f t="shared" si="8"/>
        <v>0</v>
      </c>
      <c r="G332" s="3" t="str">
        <f>HYPERLINK("http://tmmp-catalog.com.ua/katalog/8/13331/","фото")</f>
        <v>фото</v>
      </c>
      <c r="H332" s="22"/>
    </row>
    <row r="333" spans="1:8" ht="15" x14ac:dyDescent="0.2">
      <c r="A333" s="18">
        <v>2000000002316</v>
      </c>
      <c r="B333" s="19" t="s">
        <v>715</v>
      </c>
      <c r="C333" s="20" t="s">
        <v>716</v>
      </c>
      <c r="D333" s="2">
        <v>2.2999999999999998</v>
      </c>
      <c r="E333" s="21"/>
      <c r="F333" s="2">
        <f t="shared" si="8"/>
        <v>0</v>
      </c>
      <c r="G333" s="3" t="str">
        <f>HYPERLINK("http://tmmp-catalog.com.ua/katalog/10/14580/","фото")</f>
        <v>фото</v>
      </c>
      <c r="H333" s="22"/>
    </row>
    <row r="334" spans="1:8" ht="15" x14ac:dyDescent="0.2">
      <c r="A334" s="18">
        <v>2000000031279</v>
      </c>
      <c r="B334" s="19" t="s">
        <v>717</v>
      </c>
      <c r="C334" s="20" t="s">
        <v>718</v>
      </c>
      <c r="D334" s="2">
        <v>8</v>
      </c>
      <c r="E334" s="21"/>
      <c r="F334" s="2">
        <f t="shared" si="8"/>
        <v>0</v>
      </c>
      <c r="G334" s="3" t="str">
        <f>HYPERLINK("http://tmmp-catalog.com.ua/katalog/8/13332/","фото")</f>
        <v>фото</v>
      </c>
      <c r="H334" s="22"/>
    </row>
    <row r="335" spans="1:8" ht="15" x14ac:dyDescent="0.2">
      <c r="A335" s="18">
        <v>2000000031286</v>
      </c>
      <c r="B335" s="19" t="s">
        <v>719</v>
      </c>
      <c r="C335" s="20" t="s">
        <v>720</v>
      </c>
      <c r="D335" s="2">
        <v>6.3</v>
      </c>
      <c r="E335" s="21"/>
      <c r="F335" s="2">
        <f t="shared" si="8"/>
        <v>0</v>
      </c>
      <c r="G335" s="3" t="str">
        <f>HYPERLINK("http://tmmp-catalog.com.ua/katalog/8/13333/","фото")</f>
        <v>фото</v>
      </c>
      <c r="H335" s="22"/>
    </row>
    <row r="336" spans="1:8" ht="15" x14ac:dyDescent="0.2">
      <c r="A336" s="18">
        <v>2000000031309</v>
      </c>
      <c r="B336" s="19" t="s">
        <v>721</v>
      </c>
      <c r="C336" s="20" t="s">
        <v>722</v>
      </c>
      <c r="D336" s="2">
        <v>5.5</v>
      </c>
      <c r="E336" s="21"/>
      <c r="F336" s="2">
        <f t="shared" si="8"/>
        <v>0</v>
      </c>
      <c r="G336" s="3" t="str">
        <f>HYPERLINK("http://tmmp-catalog.com.ua/katalog/8/13335/","фото")</f>
        <v>фото</v>
      </c>
      <c r="H336" s="22"/>
    </row>
    <row r="337" spans="1:8" ht="15" x14ac:dyDescent="0.2">
      <c r="A337" s="18">
        <v>2000000031293</v>
      </c>
      <c r="B337" s="19" t="s">
        <v>723</v>
      </c>
      <c r="C337" s="20" t="s">
        <v>724</v>
      </c>
      <c r="D337" s="2">
        <v>9</v>
      </c>
      <c r="E337" s="21"/>
      <c r="F337" s="2">
        <f t="shared" si="8"/>
        <v>0</v>
      </c>
      <c r="G337" s="3" t="str">
        <f>HYPERLINK("http://tmmp-catalog.com.ua/katalog/8/13334/","фото")</f>
        <v>фото</v>
      </c>
      <c r="H337" s="22"/>
    </row>
    <row r="338" spans="1:8" ht="15" x14ac:dyDescent="0.2">
      <c r="A338" s="18"/>
      <c r="B338" s="19" t="s">
        <v>725</v>
      </c>
      <c r="C338" s="20" t="s">
        <v>726</v>
      </c>
      <c r="D338" s="2">
        <v>6</v>
      </c>
      <c r="E338" s="21"/>
      <c r="F338" s="2">
        <f t="shared" si="8"/>
        <v>0</v>
      </c>
      <c r="G338" s="3" t="str">
        <f>HYPERLINK("http://tmmp-catalog.com.ua/katalog/8/17172/","фото")</f>
        <v>фото</v>
      </c>
      <c r="H338" s="22"/>
    </row>
    <row r="339" spans="1:8" ht="15" x14ac:dyDescent="0.2">
      <c r="A339" s="18">
        <v>2000000034560</v>
      </c>
      <c r="B339" s="19" t="s">
        <v>727</v>
      </c>
      <c r="C339" s="20" t="s">
        <v>728</v>
      </c>
      <c r="D339" s="2">
        <v>0.75</v>
      </c>
      <c r="E339" s="21"/>
      <c r="F339" s="2">
        <f t="shared" si="8"/>
        <v>0</v>
      </c>
      <c r="G339" s="3" t="str">
        <f>HYPERLINK("http://tmmp-catalog.com.ua/katalog/8/16978/","фото")</f>
        <v>фото</v>
      </c>
      <c r="H339" s="22"/>
    </row>
    <row r="340" spans="1:8" ht="15" x14ac:dyDescent="0.2">
      <c r="A340" s="18">
        <v>2000000034577</v>
      </c>
      <c r="B340" s="19" t="s">
        <v>729</v>
      </c>
      <c r="C340" s="20" t="s">
        <v>730</v>
      </c>
      <c r="D340" s="2">
        <v>0.75</v>
      </c>
      <c r="E340" s="21"/>
      <c r="F340" s="2">
        <f t="shared" si="8"/>
        <v>0</v>
      </c>
      <c r="G340" s="3" t="str">
        <f>HYPERLINK("http://tmmp-catalog.com.ua/katalog/8/16979/","фото")</f>
        <v>фото</v>
      </c>
      <c r="H340" s="22"/>
    </row>
    <row r="341" spans="1:8" ht="15" x14ac:dyDescent="0.2">
      <c r="A341" s="18">
        <v>2000000031316</v>
      </c>
      <c r="B341" s="19" t="s">
        <v>731</v>
      </c>
      <c r="C341" s="20" t="s">
        <v>732</v>
      </c>
      <c r="D341" s="2">
        <v>0.75</v>
      </c>
      <c r="E341" s="21"/>
      <c r="F341" s="2">
        <f t="shared" si="8"/>
        <v>0</v>
      </c>
      <c r="G341" s="3" t="str">
        <f>HYPERLINK("http://tmmp-catalog.com.ua/katalog/8/13336/","фото")</f>
        <v>фото</v>
      </c>
      <c r="H341" s="22"/>
    </row>
    <row r="342" spans="1:8" ht="15" x14ac:dyDescent="0.2">
      <c r="A342" s="18">
        <v>2000000035062</v>
      </c>
      <c r="B342" s="19" t="s">
        <v>733</v>
      </c>
      <c r="C342" s="20" t="s">
        <v>734</v>
      </c>
      <c r="D342" s="2">
        <v>2.5</v>
      </c>
      <c r="E342" s="21"/>
      <c r="F342" s="2">
        <f t="shared" si="8"/>
        <v>0</v>
      </c>
      <c r="G342" s="3" t="str">
        <f>HYPERLINK("http://tmmp-catalog.com.ua/katalog/9/13125/","фото")</f>
        <v>фото</v>
      </c>
      <c r="H342" s="22"/>
    </row>
    <row r="343" spans="1:8" ht="15" x14ac:dyDescent="0.2">
      <c r="A343" s="18">
        <v>2000000002422</v>
      </c>
      <c r="B343" s="19" t="s">
        <v>735</v>
      </c>
      <c r="C343" s="20" t="s">
        <v>736</v>
      </c>
      <c r="D343" s="2">
        <v>0.7</v>
      </c>
      <c r="E343" s="21"/>
      <c r="F343" s="2">
        <f t="shared" si="8"/>
        <v>0</v>
      </c>
      <c r="G343" s="3" t="str">
        <f>HYPERLINK("http://tmmp-catalog.com.ua/katalog/10/14594/","фото")</f>
        <v>фото</v>
      </c>
      <c r="H343" s="22"/>
    </row>
    <row r="344" spans="1:8" ht="15" x14ac:dyDescent="0.2">
      <c r="A344" s="18">
        <v>2000000031330</v>
      </c>
      <c r="B344" s="19" t="s">
        <v>737</v>
      </c>
      <c r="C344" s="20" t="s">
        <v>738</v>
      </c>
      <c r="D344" s="2">
        <v>0.35</v>
      </c>
      <c r="E344" s="21"/>
      <c r="F344" s="2">
        <f t="shared" si="8"/>
        <v>0</v>
      </c>
      <c r="G344" s="3" t="str">
        <f>HYPERLINK("http://tmmp-catalog.com.ua/katalog/8/13338/","фото")</f>
        <v>фото</v>
      </c>
      <c r="H344" s="22"/>
    </row>
    <row r="345" spans="1:8" ht="15" x14ac:dyDescent="0.2">
      <c r="A345" s="18">
        <v>2000000031347</v>
      </c>
      <c r="B345" s="19" t="s">
        <v>739</v>
      </c>
      <c r="C345" s="20" t="s">
        <v>740</v>
      </c>
      <c r="D345" s="2">
        <v>0.8</v>
      </c>
      <c r="E345" s="21"/>
      <c r="F345" s="2">
        <f t="shared" si="8"/>
        <v>0</v>
      </c>
      <c r="G345" s="3" t="str">
        <f>HYPERLINK("http://tmmp-catalog.com.ua/katalog/8/13339/","фото")</f>
        <v>фото</v>
      </c>
      <c r="H345" s="22"/>
    </row>
    <row r="346" spans="1:8" ht="15" x14ac:dyDescent="0.2">
      <c r="A346" s="18"/>
      <c r="B346" s="19" t="s">
        <v>741</v>
      </c>
      <c r="C346" s="20" t="s">
        <v>742</v>
      </c>
      <c r="D346" s="2">
        <v>1</v>
      </c>
      <c r="E346" s="21"/>
      <c r="F346" s="2">
        <f t="shared" si="8"/>
        <v>0</v>
      </c>
      <c r="G346" s="3" t="str">
        <f>HYPERLINK("http://tmmp-catalog.com.ua/katalog/8/18849/","фото")</f>
        <v>фото</v>
      </c>
      <c r="H346" s="22"/>
    </row>
    <row r="347" spans="1:8" ht="15" x14ac:dyDescent="0.2">
      <c r="A347" s="18"/>
      <c r="B347" s="19" t="s">
        <v>743</v>
      </c>
      <c r="C347" s="20" t="s">
        <v>744</v>
      </c>
      <c r="D347" s="2">
        <v>1</v>
      </c>
      <c r="E347" s="21"/>
      <c r="F347" s="2">
        <f t="shared" si="8"/>
        <v>0</v>
      </c>
      <c r="G347" s="3" t="str">
        <f>HYPERLINK("http://tmmp-catalog.com.ua/katalog/37/18369/","фото")</f>
        <v>фото</v>
      </c>
      <c r="H347" s="22"/>
    </row>
    <row r="348" spans="1:8" ht="15" x14ac:dyDescent="0.2">
      <c r="A348" s="18">
        <v>2000000031361</v>
      </c>
      <c r="B348" s="19" t="s">
        <v>745</v>
      </c>
      <c r="C348" s="20" t="s">
        <v>746</v>
      </c>
      <c r="D348" s="2">
        <v>0.9</v>
      </c>
      <c r="E348" s="21"/>
      <c r="F348" s="2">
        <f t="shared" si="8"/>
        <v>0</v>
      </c>
      <c r="G348" s="3" t="str">
        <f>HYPERLINK("http://tmmp-catalog.com.ua/katalog/8/13341/","фото")</f>
        <v>фото</v>
      </c>
      <c r="H348" s="22"/>
    </row>
    <row r="349" spans="1:8" ht="15" x14ac:dyDescent="0.2">
      <c r="A349" s="18">
        <v>2000000031408</v>
      </c>
      <c r="B349" s="19" t="s">
        <v>747</v>
      </c>
      <c r="C349" s="20" t="s">
        <v>748</v>
      </c>
      <c r="D349" s="2">
        <v>9</v>
      </c>
      <c r="E349" s="21"/>
      <c r="F349" s="2">
        <f t="shared" si="8"/>
        <v>0</v>
      </c>
      <c r="G349" s="3" t="str">
        <f>HYPERLINK("http://tmmp-catalog.com.ua/katalog/8/13345/","фото")</f>
        <v>фото</v>
      </c>
      <c r="H349" s="22"/>
    </row>
    <row r="350" spans="1:8" ht="15" x14ac:dyDescent="0.2">
      <c r="A350" s="18"/>
      <c r="B350" s="19" t="s">
        <v>749</v>
      </c>
      <c r="C350" s="20" t="s">
        <v>750</v>
      </c>
      <c r="D350" s="2">
        <v>6</v>
      </c>
      <c r="E350" s="21"/>
      <c r="F350" s="2">
        <f t="shared" si="8"/>
        <v>0</v>
      </c>
      <c r="G350" s="3" t="str">
        <f>HYPERLINK("http://tmmp-catalog.com.ua/katalog/8/18892/","фото")</f>
        <v>фото</v>
      </c>
      <c r="H350" s="22"/>
    </row>
    <row r="351" spans="1:8" ht="15" x14ac:dyDescent="0.2">
      <c r="A351" s="18">
        <v>2000000031385</v>
      </c>
      <c r="B351" s="19" t="s">
        <v>751</v>
      </c>
      <c r="C351" s="20" t="s">
        <v>752</v>
      </c>
      <c r="D351" s="2">
        <v>8</v>
      </c>
      <c r="E351" s="21"/>
      <c r="F351" s="2">
        <f t="shared" si="8"/>
        <v>0</v>
      </c>
      <c r="G351" s="3" t="str">
        <f>HYPERLINK("http://tmmp-catalog.com.ua/katalog/8/13343/","фото")</f>
        <v>фото</v>
      </c>
      <c r="H351" s="22"/>
    </row>
    <row r="352" spans="1:8" ht="15" x14ac:dyDescent="0.2">
      <c r="A352" s="18">
        <v>2000000031415</v>
      </c>
      <c r="B352" s="19" t="s">
        <v>753</v>
      </c>
      <c r="C352" s="20" t="s">
        <v>754</v>
      </c>
      <c r="D352" s="2">
        <v>1.9</v>
      </c>
      <c r="E352" s="21"/>
      <c r="F352" s="2">
        <f t="shared" si="8"/>
        <v>0</v>
      </c>
      <c r="G352" s="3" t="str">
        <f>HYPERLINK("http://tmmp-catalog.com.ua/katalog/8/13346/","фото")</f>
        <v>фото</v>
      </c>
      <c r="H352" s="22"/>
    </row>
    <row r="353" spans="1:8" ht="15" x14ac:dyDescent="0.2">
      <c r="A353" s="18">
        <v>2000000031422</v>
      </c>
      <c r="B353" s="19" t="s">
        <v>755</v>
      </c>
      <c r="C353" s="20" t="s">
        <v>756</v>
      </c>
      <c r="D353" s="2">
        <v>2.9</v>
      </c>
      <c r="E353" s="21"/>
      <c r="F353" s="2">
        <f t="shared" si="8"/>
        <v>0</v>
      </c>
      <c r="G353" s="3" t="str">
        <f>HYPERLINK("http://tmmp-catalog.com.ua/katalog/8/13347/","фото")</f>
        <v>фото</v>
      </c>
      <c r="H353" s="22"/>
    </row>
    <row r="354" spans="1:8" ht="15" x14ac:dyDescent="0.2">
      <c r="A354" s="18">
        <v>2000000031439</v>
      </c>
      <c r="B354" s="19" t="s">
        <v>757</v>
      </c>
      <c r="C354" s="20" t="s">
        <v>758</v>
      </c>
      <c r="D354" s="2">
        <v>1.6</v>
      </c>
      <c r="E354" s="21"/>
      <c r="F354" s="2">
        <f t="shared" si="8"/>
        <v>0</v>
      </c>
      <c r="G354" s="3" t="str">
        <f>HYPERLINK("http://tmmp-catalog.com.ua/katalog/8/13348/","фото")</f>
        <v>фото</v>
      </c>
      <c r="H354" s="22"/>
    </row>
    <row r="355" spans="1:8" ht="15" x14ac:dyDescent="0.2">
      <c r="A355" s="18"/>
      <c r="B355" s="19" t="s">
        <v>759</v>
      </c>
      <c r="C355" s="20" t="s">
        <v>760</v>
      </c>
      <c r="D355" s="2">
        <v>1.5</v>
      </c>
      <c r="E355" s="21"/>
      <c r="F355" s="2">
        <f t="shared" si="8"/>
        <v>0</v>
      </c>
      <c r="G355" s="3" t="str">
        <f>HYPERLINK("http://tmmp-catalog.com.ua/katalog/37/18585/","фото")</f>
        <v>фото</v>
      </c>
      <c r="H355" s="22"/>
    </row>
    <row r="356" spans="1:8" ht="15" x14ac:dyDescent="0.2">
      <c r="A356" s="18">
        <v>2000000031446</v>
      </c>
      <c r="B356" s="19" t="s">
        <v>761</v>
      </c>
      <c r="C356" s="20" t="s">
        <v>762</v>
      </c>
      <c r="D356" s="2">
        <v>0.5</v>
      </c>
      <c r="E356" s="21"/>
      <c r="F356" s="2">
        <f t="shared" si="8"/>
        <v>0</v>
      </c>
      <c r="G356" s="3" t="str">
        <f>HYPERLINK("http://tmmp-catalog.com.ua/katalog/8/13349/","фото")</f>
        <v>фото</v>
      </c>
      <c r="H356" s="22"/>
    </row>
    <row r="357" spans="1:8" ht="15" x14ac:dyDescent="0.2">
      <c r="A357" s="18">
        <v>2000000031477</v>
      </c>
      <c r="B357" s="19" t="s">
        <v>763</v>
      </c>
      <c r="C357" s="20" t="s">
        <v>764</v>
      </c>
      <c r="D357" s="2">
        <v>13.8</v>
      </c>
      <c r="E357" s="21"/>
      <c r="F357" s="2">
        <f t="shared" si="8"/>
        <v>0</v>
      </c>
      <c r="G357" s="3" t="str">
        <f>HYPERLINK("http://tmmp-catalog.com.ua/katalog/8/13353/","фото")</f>
        <v>фото</v>
      </c>
      <c r="H357" s="22"/>
    </row>
    <row r="358" spans="1:8" ht="15" x14ac:dyDescent="0.2">
      <c r="A358" s="18">
        <v>2000000031491</v>
      </c>
      <c r="B358" s="19" t="s">
        <v>765</v>
      </c>
      <c r="C358" s="20" t="s">
        <v>766</v>
      </c>
      <c r="D358" s="2">
        <v>12</v>
      </c>
      <c r="E358" s="21"/>
      <c r="F358" s="2">
        <f t="shared" si="8"/>
        <v>0</v>
      </c>
      <c r="G358" s="3" t="str">
        <f>HYPERLINK("http://tmmp-catalog.com.ua/katalog/8/13355/","фото")</f>
        <v>фото</v>
      </c>
      <c r="H358" s="22"/>
    </row>
    <row r="359" spans="1:8" ht="15" x14ac:dyDescent="0.2">
      <c r="A359" s="18">
        <v>2000000034430</v>
      </c>
      <c r="B359" s="19" t="s">
        <v>767</v>
      </c>
      <c r="C359" s="20" t="s">
        <v>768</v>
      </c>
      <c r="D359" s="2">
        <v>7</v>
      </c>
      <c r="E359" s="21"/>
      <c r="F359" s="2">
        <f t="shared" si="8"/>
        <v>0</v>
      </c>
      <c r="G359" s="3" t="str">
        <f>HYPERLINK("http://tmmp-catalog.com.ua/katalog/8/16965/","фото")</f>
        <v>фото</v>
      </c>
      <c r="H359" s="22"/>
    </row>
    <row r="360" spans="1:8" ht="15" x14ac:dyDescent="0.2">
      <c r="A360" s="18">
        <v>2000000031507</v>
      </c>
      <c r="B360" s="19" t="s">
        <v>769</v>
      </c>
      <c r="C360" s="20" t="s">
        <v>770</v>
      </c>
      <c r="D360" s="2">
        <v>0.45</v>
      </c>
      <c r="E360" s="21"/>
      <c r="F360" s="2">
        <f t="shared" si="8"/>
        <v>0</v>
      </c>
      <c r="G360" s="3" t="str">
        <f>HYPERLINK("http://tmmp-catalog.com.ua/katalog/8/13356/","фото")</f>
        <v>фото</v>
      </c>
      <c r="H360" s="22"/>
    </row>
    <row r="361" spans="1:8" ht="15" x14ac:dyDescent="0.2">
      <c r="A361" s="18">
        <v>2000000034157</v>
      </c>
      <c r="B361" s="19" t="s">
        <v>771</v>
      </c>
      <c r="C361" s="20" t="s">
        <v>772</v>
      </c>
      <c r="D361" s="2">
        <v>0.3</v>
      </c>
      <c r="E361" s="21"/>
      <c r="F361" s="2">
        <f t="shared" si="8"/>
        <v>0</v>
      </c>
      <c r="G361" s="3" t="str">
        <f>HYPERLINK("http://tmmp-catalog.com.ua/katalog/8/16936/","фото")</f>
        <v>фото</v>
      </c>
      <c r="H361" s="22"/>
    </row>
    <row r="362" spans="1:8" ht="15" x14ac:dyDescent="0.2">
      <c r="A362" s="18">
        <v>2000000034331</v>
      </c>
      <c r="B362" s="19" t="s">
        <v>773</v>
      </c>
      <c r="C362" s="20" t="s">
        <v>774</v>
      </c>
      <c r="D362" s="2">
        <v>0.1</v>
      </c>
      <c r="E362" s="21"/>
      <c r="F362" s="2">
        <f t="shared" si="8"/>
        <v>0</v>
      </c>
      <c r="G362" s="3" t="str">
        <f>HYPERLINK("http://tmmp-catalog.com.ua/katalog/8/16955/","фото")</f>
        <v>фото</v>
      </c>
      <c r="H362" s="22"/>
    </row>
    <row r="363" spans="1:8" ht="15" x14ac:dyDescent="0.2">
      <c r="A363" s="18">
        <v>2000000034324</v>
      </c>
      <c r="B363" s="19" t="s">
        <v>775</v>
      </c>
      <c r="C363" s="20" t="s">
        <v>776</v>
      </c>
      <c r="D363" s="2">
        <v>0.1</v>
      </c>
      <c r="E363" s="21"/>
      <c r="F363" s="2">
        <f t="shared" si="8"/>
        <v>0</v>
      </c>
      <c r="G363" s="3" t="str">
        <f>HYPERLINK("http://tmmp-catalog.com.ua/katalog/8/16953/","фото")</f>
        <v>фото</v>
      </c>
      <c r="H363" s="22"/>
    </row>
    <row r="364" spans="1:8" ht="15" x14ac:dyDescent="0.2">
      <c r="A364" s="18"/>
      <c r="B364" s="19" t="s">
        <v>777</v>
      </c>
      <c r="C364" s="20" t="s">
        <v>778</v>
      </c>
      <c r="D364" s="2">
        <v>0.2</v>
      </c>
      <c r="E364" s="21"/>
      <c r="F364" s="2">
        <f t="shared" si="8"/>
        <v>0</v>
      </c>
      <c r="G364" s="3" t="str">
        <f>HYPERLINK("http://tmmp-catalog.com.ua/katalog/8/17595/","фото")</f>
        <v>фото</v>
      </c>
      <c r="H364" s="22"/>
    </row>
    <row r="365" spans="1:8" ht="15" x14ac:dyDescent="0.2">
      <c r="A365" s="18">
        <v>2000000031538</v>
      </c>
      <c r="B365" s="19" t="s">
        <v>779</v>
      </c>
      <c r="C365" s="20" t="s">
        <v>780</v>
      </c>
      <c r="D365" s="2">
        <v>11</v>
      </c>
      <c r="E365" s="21"/>
      <c r="F365" s="2">
        <f t="shared" si="8"/>
        <v>0</v>
      </c>
      <c r="G365" s="3" t="str">
        <f>HYPERLINK("http://tmmp-catalog.com.ua/katalog/8/13359/","фото")</f>
        <v>фото</v>
      </c>
      <c r="H365" s="22"/>
    </row>
    <row r="366" spans="1:8" ht="15" x14ac:dyDescent="0.2">
      <c r="A366" s="18">
        <v>2000000031545</v>
      </c>
      <c r="B366" s="19" t="s">
        <v>781</v>
      </c>
      <c r="C366" s="20" t="s">
        <v>782</v>
      </c>
      <c r="D366" s="2">
        <v>6.2</v>
      </c>
      <c r="E366" s="21"/>
      <c r="F366" s="2">
        <f t="shared" si="8"/>
        <v>0</v>
      </c>
      <c r="G366" s="3" t="str">
        <f>HYPERLINK("http://tmmp-catalog.com.ua/katalog/8/13360/","фото")</f>
        <v>фото</v>
      </c>
      <c r="H366" s="22"/>
    </row>
    <row r="367" spans="1:8" ht="15" x14ac:dyDescent="0.2">
      <c r="A367" s="18">
        <v>2000000034447</v>
      </c>
      <c r="B367" s="19" t="s">
        <v>783</v>
      </c>
      <c r="C367" s="20" t="s">
        <v>784</v>
      </c>
      <c r="D367" s="2">
        <v>1.2</v>
      </c>
      <c r="E367" s="21"/>
      <c r="F367" s="2">
        <f t="shared" si="8"/>
        <v>0</v>
      </c>
      <c r="G367" s="3" t="str">
        <f>HYPERLINK("http://tmmp-catalog.com.ua/katalog/8/16966/","фото")</f>
        <v>фото</v>
      </c>
      <c r="H367" s="22"/>
    </row>
    <row r="368" spans="1:8" ht="15" x14ac:dyDescent="0.2">
      <c r="A368" s="18">
        <v>2000000031552</v>
      </c>
      <c r="B368" s="19" t="s">
        <v>785</v>
      </c>
      <c r="C368" s="20" t="s">
        <v>786</v>
      </c>
      <c r="D368" s="2">
        <v>1</v>
      </c>
      <c r="E368" s="21"/>
      <c r="F368" s="2">
        <f t="shared" si="8"/>
        <v>0</v>
      </c>
      <c r="G368" s="3" t="str">
        <f>HYPERLINK("http://tmmp-catalog.com.ua/katalog/8/13361/","фото")</f>
        <v>фото</v>
      </c>
      <c r="H368" s="22"/>
    </row>
    <row r="369" spans="1:8" ht="15" x14ac:dyDescent="0.2">
      <c r="A369" s="18">
        <v>2000000035826</v>
      </c>
      <c r="B369" s="19" t="s">
        <v>787</v>
      </c>
      <c r="C369" s="20" t="s">
        <v>788</v>
      </c>
      <c r="D369" s="2">
        <v>13</v>
      </c>
      <c r="E369" s="21"/>
      <c r="F369" s="2">
        <f t="shared" si="8"/>
        <v>0</v>
      </c>
      <c r="G369" s="3" t="str">
        <f>HYPERLINK("http://tmmp-catalog.com.ua/katalog/9/16995/","фото")</f>
        <v>фото</v>
      </c>
      <c r="H369" s="22"/>
    </row>
    <row r="370" spans="1:8" ht="15" x14ac:dyDescent="0.2">
      <c r="A370" s="18">
        <v>2000000029658</v>
      </c>
      <c r="B370" s="19" t="s">
        <v>789</v>
      </c>
      <c r="C370" s="20" t="s">
        <v>790</v>
      </c>
      <c r="D370" s="2">
        <v>9.5</v>
      </c>
      <c r="E370" s="21"/>
      <c r="F370" s="2">
        <f t="shared" si="8"/>
        <v>0</v>
      </c>
      <c r="G370" s="3" t="str">
        <f>HYPERLINK("http://tmmp-catalog.com.ua/katalog/8/13164/","фото")</f>
        <v>фото</v>
      </c>
      <c r="H370" s="22"/>
    </row>
    <row r="371" spans="1:8" ht="15" x14ac:dyDescent="0.2">
      <c r="A371" s="18"/>
      <c r="B371" s="19" t="s">
        <v>791</v>
      </c>
      <c r="C371" s="20" t="s">
        <v>792</v>
      </c>
      <c r="D371" s="2">
        <v>0.75</v>
      </c>
      <c r="E371" s="21"/>
      <c r="F371" s="2">
        <f t="shared" si="8"/>
        <v>0</v>
      </c>
      <c r="G371" s="3" t="str">
        <f>HYPERLINK("http://tmmp-catalog.com.ua/katalog/8/17170/","фото")</f>
        <v>фото</v>
      </c>
      <c r="H371" s="22"/>
    </row>
    <row r="372" spans="1:8" ht="15" x14ac:dyDescent="0.2">
      <c r="A372" s="18">
        <v>2000000005539</v>
      </c>
      <c r="B372" s="19" t="s">
        <v>793</v>
      </c>
      <c r="C372" s="20" t="s">
        <v>794</v>
      </c>
      <c r="D372" s="2">
        <v>0.5</v>
      </c>
      <c r="E372" s="21"/>
      <c r="F372" s="2">
        <f t="shared" si="8"/>
        <v>0</v>
      </c>
      <c r="G372" s="3" t="str">
        <f>HYPERLINK("http://tmmp-catalog.com.ua/katalog/13/15734/","фото")</f>
        <v>фото</v>
      </c>
      <c r="H372" s="22"/>
    </row>
    <row r="373" spans="1:8" ht="15" x14ac:dyDescent="0.2">
      <c r="A373" s="18">
        <v>2000000033815</v>
      </c>
      <c r="B373" s="19" t="s">
        <v>795</v>
      </c>
      <c r="C373" s="20" t="s">
        <v>796</v>
      </c>
      <c r="D373" s="2">
        <v>0.65</v>
      </c>
      <c r="E373" s="21"/>
      <c r="F373" s="2">
        <f t="shared" si="8"/>
        <v>0</v>
      </c>
      <c r="G373" s="3" t="str">
        <f>HYPERLINK("http://tmmp-catalog.com.ua/katalog/8/16499/","фото")</f>
        <v>фото</v>
      </c>
      <c r="H373" s="22"/>
    </row>
    <row r="374" spans="1:8" ht="15" x14ac:dyDescent="0.2">
      <c r="A374" s="18">
        <v>2000000031842</v>
      </c>
      <c r="B374" s="19" t="s">
        <v>797</v>
      </c>
      <c r="C374" s="20" t="s">
        <v>798</v>
      </c>
      <c r="D374" s="2">
        <v>0.75</v>
      </c>
      <c r="E374" s="21"/>
      <c r="F374" s="2">
        <f t="shared" si="8"/>
        <v>0</v>
      </c>
      <c r="G374" s="3" t="str">
        <f>HYPERLINK("http://tmmp-catalog.com.ua/katalog/8/13393/","фото")</f>
        <v>фото</v>
      </c>
      <c r="H374" s="22"/>
    </row>
    <row r="375" spans="1:8" ht="15" x14ac:dyDescent="0.2">
      <c r="A375" s="18">
        <v>2000000002361</v>
      </c>
      <c r="B375" s="19" t="s">
        <v>799</v>
      </c>
      <c r="C375" s="20" t="s">
        <v>800</v>
      </c>
      <c r="D375" s="2">
        <v>2.2000000000000002</v>
      </c>
      <c r="E375" s="21"/>
      <c r="F375" s="2">
        <f t="shared" si="8"/>
        <v>0</v>
      </c>
      <c r="G375" s="3" t="str">
        <f>HYPERLINK("http://tmmp-catalog.com.ua/katalog/10/14585/","фото")</f>
        <v>фото</v>
      </c>
      <c r="H375" s="22"/>
    </row>
    <row r="376" spans="1:8" ht="15" x14ac:dyDescent="0.2">
      <c r="A376" s="18">
        <v>2000000031873</v>
      </c>
      <c r="B376" s="19" t="s">
        <v>801</v>
      </c>
      <c r="C376" s="20" t="s">
        <v>802</v>
      </c>
      <c r="D376" s="2">
        <v>2.5</v>
      </c>
      <c r="E376" s="21"/>
      <c r="F376" s="2">
        <f t="shared" si="8"/>
        <v>0</v>
      </c>
      <c r="G376" s="3" t="str">
        <f>HYPERLINK("http://tmmp-catalog.com.ua/katalog/8/13396/","фото")</f>
        <v>фото</v>
      </c>
      <c r="H376" s="22"/>
    </row>
    <row r="377" spans="1:8" ht="15" x14ac:dyDescent="0.2">
      <c r="A377" s="18"/>
      <c r="B377" s="19" t="s">
        <v>803</v>
      </c>
      <c r="C377" s="20" t="s">
        <v>804</v>
      </c>
      <c r="D377" s="2">
        <v>1.75</v>
      </c>
      <c r="E377" s="21"/>
      <c r="F377" s="2">
        <f t="shared" ref="F377:F440" si="9">cena*zakaz</f>
        <v>0</v>
      </c>
      <c r="G377" s="3" t="str">
        <f>HYPERLINK("http://tmmp-catalog.com.ua/katalog/8/18087/","фото")</f>
        <v>фото</v>
      </c>
      <c r="H377" s="22"/>
    </row>
    <row r="378" spans="1:8" ht="15" x14ac:dyDescent="0.2">
      <c r="A378" s="18">
        <v>2000000031880</v>
      </c>
      <c r="B378" s="19" t="s">
        <v>805</v>
      </c>
      <c r="C378" s="20" t="s">
        <v>806</v>
      </c>
      <c r="D378" s="2">
        <v>2.6</v>
      </c>
      <c r="E378" s="21"/>
      <c r="F378" s="2">
        <f t="shared" si="9"/>
        <v>0</v>
      </c>
      <c r="G378" s="3" t="str">
        <f>HYPERLINK("http://tmmp-catalog.com.ua/katalog/8/13397/","фото")</f>
        <v>фото</v>
      </c>
      <c r="H378" s="22"/>
    </row>
    <row r="379" spans="1:8" ht="15" x14ac:dyDescent="0.2">
      <c r="A379" s="18">
        <v>2000000031897</v>
      </c>
      <c r="B379" s="19" t="s">
        <v>807</v>
      </c>
      <c r="C379" s="20" t="s">
        <v>808</v>
      </c>
      <c r="D379" s="2">
        <v>1.5</v>
      </c>
      <c r="E379" s="21"/>
      <c r="F379" s="2">
        <f t="shared" si="9"/>
        <v>0</v>
      </c>
      <c r="G379" s="3" t="str">
        <f>HYPERLINK("http://tmmp-catalog.com.ua/katalog/8/13398/","фото")</f>
        <v>фото</v>
      </c>
      <c r="H379" s="22"/>
    </row>
    <row r="380" spans="1:8" ht="15" x14ac:dyDescent="0.2">
      <c r="A380" s="18">
        <v>2000000031903</v>
      </c>
      <c r="B380" s="19" t="s">
        <v>809</v>
      </c>
      <c r="C380" s="20" t="s">
        <v>810</v>
      </c>
      <c r="D380" s="2">
        <v>2.1</v>
      </c>
      <c r="E380" s="21"/>
      <c r="F380" s="2">
        <f t="shared" si="9"/>
        <v>0</v>
      </c>
      <c r="G380" s="3" t="str">
        <f>HYPERLINK("http://tmmp-catalog.com.ua/katalog/8/13399/","фото")</f>
        <v>фото</v>
      </c>
      <c r="H380" s="22"/>
    </row>
    <row r="381" spans="1:8" ht="15" x14ac:dyDescent="0.2">
      <c r="A381" s="18">
        <v>2000000031910</v>
      </c>
      <c r="B381" s="19" t="s">
        <v>811</v>
      </c>
      <c r="C381" s="20" t="s">
        <v>812</v>
      </c>
      <c r="D381" s="2">
        <v>4.1500000000000004</v>
      </c>
      <c r="E381" s="21"/>
      <c r="F381" s="2">
        <f t="shared" si="9"/>
        <v>0</v>
      </c>
      <c r="G381" s="3" t="str">
        <f>HYPERLINK("http://tmmp-catalog.com.ua/katalog/8/13400/","фото")</f>
        <v>фото</v>
      </c>
      <c r="H381" s="22"/>
    </row>
    <row r="382" spans="1:8" ht="15" x14ac:dyDescent="0.2">
      <c r="A382" s="18">
        <v>2000000031927</v>
      </c>
      <c r="B382" s="19" t="s">
        <v>813</v>
      </c>
      <c r="C382" s="20" t="s">
        <v>814</v>
      </c>
      <c r="D382" s="2">
        <v>10</v>
      </c>
      <c r="E382" s="21"/>
      <c r="F382" s="2">
        <f t="shared" si="9"/>
        <v>0</v>
      </c>
      <c r="G382" s="3" t="str">
        <f>HYPERLINK("http://tmmp-catalog.com.ua/katalog/8/13401/","фото")</f>
        <v>фото</v>
      </c>
      <c r="H382" s="22"/>
    </row>
    <row r="383" spans="1:8" ht="15" x14ac:dyDescent="0.2">
      <c r="A383" s="18">
        <v>2000000031941</v>
      </c>
      <c r="B383" s="19" t="s">
        <v>815</v>
      </c>
      <c r="C383" s="20" t="s">
        <v>816</v>
      </c>
      <c r="D383" s="2">
        <v>0.55000000000000004</v>
      </c>
      <c r="E383" s="21"/>
      <c r="F383" s="2">
        <f t="shared" si="9"/>
        <v>0</v>
      </c>
      <c r="G383" s="3" t="str">
        <f>HYPERLINK("http://tmmp-catalog.com.ua/katalog/8/13403/","фото")</f>
        <v>фото</v>
      </c>
      <c r="H383" s="22"/>
    </row>
    <row r="384" spans="1:8" ht="15" x14ac:dyDescent="0.2">
      <c r="A384" s="18">
        <v>2000000031958</v>
      </c>
      <c r="B384" s="19" t="s">
        <v>817</v>
      </c>
      <c r="C384" s="20" t="s">
        <v>818</v>
      </c>
      <c r="D384" s="2">
        <v>0.5</v>
      </c>
      <c r="E384" s="21"/>
      <c r="F384" s="2">
        <f t="shared" si="9"/>
        <v>0</v>
      </c>
      <c r="G384" s="3" t="str">
        <f>HYPERLINK("http://tmmp-catalog.com.ua/katalog/8/13404/","фото")</f>
        <v>фото</v>
      </c>
      <c r="H384" s="22"/>
    </row>
    <row r="385" spans="1:8" ht="15" x14ac:dyDescent="0.2">
      <c r="A385" s="18"/>
      <c r="B385" s="19" t="s">
        <v>819</v>
      </c>
      <c r="C385" s="20" t="s">
        <v>820</v>
      </c>
      <c r="D385" s="2">
        <v>8</v>
      </c>
      <c r="E385" s="21"/>
      <c r="F385" s="2">
        <f t="shared" si="9"/>
        <v>0</v>
      </c>
      <c r="G385" s="3" t="str">
        <f>HYPERLINK("http://tmmp-catalog.com.ua/katalog/10/18151/","фото")</f>
        <v>фото</v>
      </c>
      <c r="H385" s="22"/>
    </row>
    <row r="386" spans="1:8" ht="15" x14ac:dyDescent="0.2">
      <c r="A386" s="18">
        <v>2000000031972</v>
      </c>
      <c r="B386" s="19" t="s">
        <v>821</v>
      </c>
      <c r="C386" s="20" t="s">
        <v>822</v>
      </c>
      <c r="D386" s="2">
        <v>11</v>
      </c>
      <c r="E386" s="21"/>
      <c r="F386" s="2">
        <f t="shared" si="9"/>
        <v>0</v>
      </c>
      <c r="G386" s="3" t="str">
        <f>HYPERLINK("http://tmmp-catalog.com.ua/katalog/8/13406/","фото")</f>
        <v>фото</v>
      </c>
      <c r="H386" s="22"/>
    </row>
    <row r="387" spans="1:8" ht="15" x14ac:dyDescent="0.2">
      <c r="A387" s="18">
        <v>2000000034188</v>
      </c>
      <c r="B387" s="19" t="s">
        <v>823</v>
      </c>
      <c r="C387" s="20" t="s">
        <v>824</v>
      </c>
      <c r="D387" s="2">
        <v>3.8</v>
      </c>
      <c r="E387" s="21"/>
      <c r="F387" s="2">
        <f t="shared" si="9"/>
        <v>0</v>
      </c>
      <c r="G387" s="3" t="str">
        <f>HYPERLINK("http://tmmp-catalog.com.ua/katalog/8/16939/","фото")</f>
        <v>фото</v>
      </c>
      <c r="H387" s="22"/>
    </row>
    <row r="388" spans="1:8" ht="15" x14ac:dyDescent="0.2">
      <c r="A388" s="18">
        <v>2000000031989</v>
      </c>
      <c r="B388" s="19" t="s">
        <v>825</v>
      </c>
      <c r="C388" s="20" t="s">
        <v>826</v>
      </c>
      <c r="D388" s="2">
        <v>4.5</v>
      </c>
      <c r="E388" s="21"/>
      <c r="F388" s="2">
        <f t="shared" si="9"/>
        <v>0</v>
      </c>
      <c r="G388" s="3" t="str">
        <f>HYPERLINK("http://tmmp-catalog.com.ua/katalog/8/13408/","фото")</f>
        <v>фото</v>
      </c>
      <c r="H388" s="22"/>
    </row>
    <row r="389" spans="1:8" ht="15" x14ac:dyDescent="0.2">
      <c r="A389" s="18"/>
      <c r="B389" s="19" t="s">
        <v>827</v>
      </c>
      <c r="C389" s="20" t="s">
        <v>828</v>
      </c>
      <c r="D389" s="2">
        <v>2.2000000000000002</v>
      </c>
      <c r="E389" s="21"/>
      <c r="F389" s="2">
        <f t="shared" si="9"/>
        <v>0</v>
      </c>
      <c r="G389" s="3" t="str">
        <f>HYPERLINK("http://tmmp-catalog.com.ua/katalog/37/18400/","фото")</f>
        <v>фото</v>
      </c>
      <c r="H389" s="22"/>
    </row>
    <row r="390" spans="1:8" ht="15" x14ac:dyDescent="0.2">
      <c r="A390" s="18">
        <v>2000000002385</v>
      </c>
      <c r="B390" s="19" t="s">
        <v>829</v>
      </c>
      <c r="C390" s="20" t="s">
        <v>830</v>
      </c>
      <c r="D390" s="2">
        <v>1.6</v>
      </c>
      <c r="E390" s="21"/>
      <c r="F390" s="2">
        <f t="shared" si="9"/>
        <v>0</v>
      </c>
      <c r="G390" s="3" t="str">
        <f>HYPERLINK("http://tmmp-catalog.com.ua/katalog/10/14587/","фото")</f>
        <v>фото</v>
      </c>
      <c r="H390" s="22"/>
    </row>
    <row r="391" spans="1:8" ht="15" x14ac:dyDescent="0.2">
      <c r="A391" s="18">
        <v>2000000034980</v>
      </c>
      <c r="B391" s="19" t="s">
        <v>831</v>
      </c>
      <c r="C391" s="20" t="s">
        <v>832</v>
      </c>
      <c r="D391" s="2">
        <v>1.5</v>
      </c>
      <c r="E391" s="21"/>
      <c r="F391" s="2">
        <f t="shared" si="9"/>
        <v>0</v>
      </c>
      <c r="G391" s="3" t="str">
        <f>HYPERLINK("http://tmmp-catalog.com.ua/katalog/9/13117/","фото")</f>
        <v>фото</v>
      </c>
      <c r="H391" s="22"/>
    </row>
    <row r="392" spans="1:8" ht="15" x14ac:dyDescent="0.2">
      <c r="A392" s="18">
        <v>2000000032009</v>
      </c>
      <c r="B392" s="19" t="s">
        <v>833</v>
      </c>
      <c r="C392" s="20" t="s">
        <v>834</v>
      </c>
      <c r="D392" s="2">
        <v>2.9</v>
      </c>
      <c r="E392" s="21"/>
      <c r="F392" s="2">
        <f t="shared" si="9"/>
        <v>0</v>
      </c>
      <c r="G392" s="3" t="str">
        <f>HYPERLINK("http://tmmp-catalog.com.ua/katalog/8/13410/","фото")</f>
        <v>фото</v>
      </c>
      <c r="H392" s="22"/>
    </row>
    <row r="393" spans="1:8" ht="15" x14ac:dyDescent="0.2">
      <c r="A393" s="18">
        <v>2000000031996</v>
      </c>
      <c r="B393" s="19" t="s">
        <v>835</v>
      </c>
      <c r="C393" s="20" t="s">
        <v>836</v>
      </c>
      <c r="D393" s="2">
        <v>1.6</v>
      </c>
      <c r="E393" s="21"/>
      <c r="F393" s="2">
        <f t="shared" si="9"/>
        <v>0</v>
      </c>
      <c r="G393" s="3" t="str">
        <f>HYPERLINK("http://tmmp-catalog.com.ua/katalog/8/13409/","фото")</f>
        <v>фото</v>
      </c>
      <c r="H393" s="22"/>
    </row>
    <row r="394" spans="1:8" ht="15" x14ac:dyDescent="0.2">
      <c r="A394" s="18">
        <v>2000000002415</v>
      </c>
      <c r="B394" s="19" t="s">
        <v>837</v>
      </c>
      <c r="C394" s="20" t="s">
        <v>838</v>
      </c>
      <c r="D394" s="2">
        <v>2</v>
      </c>
      <c r="E394" s="21"/>
      <c r="F394" s="2">
        <f t="shared" si="9"/>
        <v>0</v>
      </c>
      <c r="G394" s="3" t="str">
        <f>HYPERLINK("http://tmmp-catalog.com.ua/katalog/10/14593/","фото")</f>
        <v>фото</v>
      </c>
      <c r="H394" s="22"/>
    </row>
    <row r="395" spans="1:8" ht="15" x14ac:dyDescent="0.2">
      <c r="A395" s="18">
        <v>2000000032016</v>
      </c>
      <c r="B395" s="19" t="s">
        <v>839</v>
      </c>
      <c r="C395" s="20" t="s">
        <v>840</v>
      </c>
      <c r="D395" s="2">
        <v>2.15</v>
      </c>
      <c r="E395" s="21"/>
      <c r="F395" s="2">
        <f t="shared" si="9"/>
        <v>0</v>
      </c>
      <c r="G395" s="3" t="str">
        <f>HYPERLINK("http://tmmp-catalog.com.ua/katalog/8/13411/","фото")</f>
        <v>фото</v>
      </c>
      <c r="H395" s="22"/>
    </row>
    <row r="396" spans="1:8" ht="15" x14ac:dyDescent="0.2">
      <c r="A396" s="18">
        <v>2000000032023</v>
      </c>
      <c r="B396" s="19" t="s">
        <v>841</v>
      </c>
      <c r="C396" s="20" t="s">
        <v>842</v>
      </c>
      <c r="D396" s="2">
        <v>7</v>
      </c>
      <c r="E396" s="21"/>
      <c r="F396" s="2">
        <f t="shared" si="9"/>
        <v>0</v>
      </c>
      <c r="G396" s="3" t="str">
        <f>HYPERLINK("http://tmmp-catalog.com.ua/katalog/8/13412/","фото")</f>
        <v>фото</v>
      </c>
      <c r="H396" s="22"/>
    </row>
    <row r="397" spans="1:8" ht="15" x14ac:dyDescent="0.2">
      <c r="A397" s="18">
        <v>2000000033990</v>
      </c>
      <c r="B397" s="19" t="s">
        <v>843</v>
      </c>
      <c r="C397" s="20" t="s">
        <v>844</v>
      </c>
      <c r="D397" s="2">
        <v>5.3</v>
      </c>
      <c r="E397" s="21"/>
      <c r="F397" s="2">
        <f t="shared" si="9"/>
        <v>0</v>
      </c>
      <c r="G397" s="3" t="str">
        <f>HYPERLINK("http://tmmp-catalog.com.ua/katalog/8/16579/","фото")</f>
        <v>фото</v>
      </c>
      <c r="H397" s="22"/>
    </row>
    <row r="398" spans="1:8" ht="15" x14ac:dyDescent="0.2">
      <c r="A398" s="18">
        <v>2000000032047</v>
      </c>
      <c r="B398" s="19" t="s">
        <v>845</v>
      </c>
      <c r="C398" s="20" t="s">
        <v>846</v>
      </c>
      <c r="D398" s="2">
        <v>0.4</v>
      </c>
      <c r="E398" s="21"/>
      <c r="F398" s="2">
        <f t="shared" si="9"/>
        <v>0</v>
      </c>
      <c r="G398" s="3" t="str">
        <f>HYPERLINK("http://tmmp-catalog.com.ua/katalog/8/13414/","фото")</f>
        <v>фото</v>
      </c>
      <c r="H398" s="22"/>
    </row>
    <row r="399" spans="1:8" ht="15" x14ac:dyDescent="0.2">
      <c r="A399" s="18">
        <v>2000000029849</v>
      </c>
      <c r="B399" s="19" t="s">
        <v>847</v>
      </c>
      <c r="C399" s="20" t="s">
        <v>848</v>
      </c>
      <c r="D399" s="2">
        <v>0.35</v>
      </c>
      <c r="E399" s="21"/>
      <c r="F399" s="2">
        <f t="shared" si="9"/>
        <v>0</v>
      </c>
      <c r="G399" s="3" t="str">
        <f>HYPERLINK("http://tmmp-catalog.com.ua/katalog/8/13183/","фото")</f>
        <v>фото</v>
      </c>
      <c r="H399" s="22"/>
    </row>
    <row r="400" spans="1:8" ht="15" x14ac:dyDescent="0.2">
      <c r="A400" s="18">
        <v>2000000002125</v>
      </c>
      <c r="B400" s="19" t="s">
        <v>849</v>
      </c>
      <c r="C400" s="20" t="s">
        <v>850</v>
      </c>
      <c r="D400" s="2">
        <v>12</v>
      </c>
      <c r="E400" s="21"/>
      <c r="F400" s="2">
        <f t="shared" si="9"/>
        <v>0</v>
      </c>
      <c r="G400" s="3" t="str">
        <f>HYPERLINK("http://tmmp-catalog.com.ua/katalog/10/14560/","фото")</f>
        <v>фото</v>
      </c>
      <c r="H400" s="22"/>
    </row>
    <row r="401" spans="1:8" ht="15" x14ac:dyDescent="0.2">
      <c r="A401" s="18">
        <v>2000000032092</v>
      </c>
      <c r="B401" s="19" t="s">
        <v>851</v>
      </c>
      <c r="C401" s="20" t="s">
        <v>852</v>
      </c>
      <c r="D401" s="2">
        <v>3.2</v>
      </c>
      <c r="E401" s="21"/>
      <c r="F401" s="2">
        <f t="shared" si="9"/>
        <v>0</v>
      </c>
      <c r="G401" s="3" t="str">
        <f>HYPERLINK("http://tmmp-catalog.com.ua/katalog/8/13419/","фото")</f>
        <v>фото</v>
      </c>
      <c r="H401" s="22"/>
    </row>
    <row r="402" spans="1:8" ht="15" x14ac:dyDescent="0.2">
      <c r="A402" s="18">
        <v>2000000035048</v>
      </c>
      <c r="B402" s="19" t="s">
        <v>853</v>
      </c>
      <c r="C402" s="20" t="s">
        <v>854</v>
      </c>
      <c r="D402" s="2">
        <v>5.5</v>
      </c>
      <c r="E402" s="21"/>
      <c r="F402" s="2">
        <f t="shared" si="9"/>
        <v>0</v>
      </c>
      <c r="G402" s="3" t="str">
        <f>HYPERLINK("http://tmmp-catalog.com.ua/katalog/9/13123/","фото")</f>
        <v>фото</v>
      </c>
      <c r="H402" s="22"/>
    </row>
    <row r="403" spans="1:8" ht="15" x14ac:dyDescent="0.2">
      <c r="A403" s="18">
        <v>2000000032115</v>
      </c>
      <c r="B403" s="19" t="s">
        <v>855</v>
      </c>
      <c r="C403" s="20" t="s">
        <v>856</v>
      </c>
      <c r="D403" s="2">
        <v>3</v>
      </c>
      <c r="E403" s="21"/>
      <c r="F403" s="2">
        <f t="shared" si="9"/>
        <v>0</v>
      </c>
      <c r="G403" s="3" t="str">
        <f>HYPERLINK("http://tmmp-catalog.com.ua/katalog/8/13421/","фото")</f>
        <v>фото</v>
      </c>
      <c r="H403" s="22"/>
    </row>
    <row r="404" spans="1:8" ht="15" x14ac:dyDescent="0.2">
      <c r="A404" s="18">
        <v>2000000032160</v>
      </c>
      <c r="B404" s="19" t="s">
        <v>857</v>
      </c>
      <c r="C404" s="20" t="s">
        <v>858</v>
      </c>
      <c r="D404" s="2">
        <v>1.1499999999999999</v>
      </c>
      <c r="E404" s="21"/>
      <c r="F404" s="2">
        <f t="shared" si="9"/>
        <v>0</v>
      </c>
      <c r="G404" s="3" t="str">
        <f>HYPERLINK("http://tmmp-catalog.com.ua/katalog/8/13426/","фото")</f>
        <v>фото</v>
      </c>
      <c r="H404" s="22"/>
    </row>
    <row r="405" spans="1:8" ht="15" x14ac:dyDescent="0.2">
      <c r="A405" s="18"/>
      <c r="B405" s="19" t="s">
        <v>859</v>
      </c>
      <c r="C405" s="20" t="s">
        <v>860</v>
      </c>
      <c r="D405" s="2">
        <v>2.2999999999999998</v>
      </c>
      <c r="E405" s="21"/>
      <c r="F405" s="2">
        <f t="shared" si="9"/>
        <v>0</v>
      </c>
      <c r="G405" s="3" t="str">
        <f>HYPERLINK("http://tmmp-catalog.com.ua/katalog/8/17948/","фото")</f>
        <v>фото</v>
      </c>
      <c r="H405" s="22"/>
    </row>
    <row r="406" spans="1:8" ht="15" x14ac:dyDescent="0.2">
      <c r="A406" s="18">
        <v>2000000032177</v>
      </c>
      <c r="B406" s="19" t="s">
        <v>861</v>
      </c>
      <c r="C406" s="20" t="s">
        <v>862</v>
      </c>
      <c r="D406" s="2">
        <v>0.65</v>
      </c>
      <c r="E406" s="21"/>
      <c r="F406" s="2">
        <f t="shared" si="9"/>
        <v>0</v>
      </c>
      <c r="G406" s="3" t="str">
        <f>HYPERLINK("http://tmmp-catalog.com.ua/katalog/8/13427/","фото")</f>
        <v>фото</v>
      </c>
      <c r="H406" s="22"/>
    </row>
    <row r="407" spans="1:8" ht="15" x14ac:dyDescent="0.2">
      <c r="A407" s="18">
        <v>2000000032184</v>
      </c>
      <c r="B407" s="19" t="s">
        <v>863</v>
      </c>
      <c r="C407" s="20" t="s">
        <v>864</v>
      </c>
      <c r="D407" s="2">
        <v>0.75</v>
      </c>
      <c r="E407" s="21"/>
      <c r="F407" s="2">
        <f t="shared" si="9"/>
        <v>0</v>
      </c>
      <c r="G407" s="3" t="str">
        <f>HYPERLINK("http://tmmp-catalog.com.ua/katalog/8/13428/","фото")</f>
        <v>фото</v>
      </c>
      <c r="H407" s="22"/>
    </row>
    <row r="408" spans="1:8" ht="15" x14ac:dyDescent="0.2">
      <c r="A408" s="18">
        <v>2000000032191</v>
      </c>
      <c r="B408" s="19" t="s">
        <v>865</v>
      </c>
      <c r="C408" s="20" t="s">
        <v>866</v>
      </c>
      <c r="D408" s="2">
        <v>0.3</v>
      </c>
      <c r="E408" s="21"/>
      <c r="F408" s="2">
        <f t="shared" si="9"/>
        <v>0</v>
      </c>
      <c r="G408" s="3" t="str">
        <f>HYPERLINK("http://tmmp-catalog.com.ua/katalog/8/13429/","фото")</f>
        <v>фото</v>
      </c>
      <c r="H408" s="22"/>
    </row>
    <row r="409" spans="1:8" ht="15" x14ac:dyDescent="0.2">
      <c r="A409" s="18">
        <v>2000000003078</v>
      </c>
      <c r="B409" s="19" t="s">
        <v>867</v>
      </c>
      <c r="C409" s="20" t="s">
        <v>868</v>
      </c>
      <c r="D409" s="2">
        <v>2</v>
      </c>
      <c r="E409" s="21"/>
      <c r="F409" s="2">
        <f t="shared" si="9"/>
        <v>0</v>
      </c>
      <c r="G409" s="3" t="str">
        <f>HYPERLINK("http://tmmp-catalog.com.ua/katalog/10/16836/","фото")</f>
        <v>фото</v>
      </c>
      <c r="H409" s="22"/>
    </row>
    <row r="410" spans="1:8" ht="15" x14ac:dyDescent="0.2">
      <c r="A410" s="18">
        <v>2000000032214</v>
      </c>
      <c r="B410" s="19" t="s">
        <v>869</v>
      </c>
      <c r="C410" s="20" t="s">
        <v>870</v>
      </c>
      <c r="D410" s="2">
        <v>1.6</v>
      </c>
      <c r="E410" s="21"/>
      <c r="F410" s="2">
        <f t="shared" si="9"/>
        <v>0</v>
      </c>
      <c r="G410" s="3" t="str">
        <f>HYPERLINK("http://tmmp-catalog.com.ua/katalog/8/13431/","фото")</f>
        <v>фото</v>
      </c>
      <c r="H410" s="22"/>
    </row>
    <row r="411" spans="1:8" ht="15" x14ac:dyDescent="0.2">
      <c r="A411" s="18">
        <v>2000000032221</v>
      </c>
      <c r="B411" s="19" t="s">
        <v>871</v>
      </c>
      <c r="C411" s="20" t="s">
        <v>872</v>
      </c>
      <c r="D411" s="2">
        <v>1.6</v>
      </c>
      <c r="E411" s="21"/>
      <c r="F411" s="2">
        <f t="shared" si="9"/>
        <v>0</v>
      </c>
      <c r="G411" s="3" t="str">
        <f>HYPERLINK("http://tmmp-catalog.com.ua/katalog/8/13432/","фото")</f>
        <v>фото</v>
      </c>
      <c r="H411" s="22"/>
    </row>
    <row r="412" spans="1:8" ht="15" x14ac:dyDescent="0.2">
      <c r="A412" s="18">
        <v>2000000032238</v>
      </c>
      <c r="B412" s="19" t="s">
        <v>873</v>
      </c>
      <c r="C412" s="20" t="s">
        <v>874</v>
      </c>
      <c r="D412" s="2">
        <v>1.3</v>
      </c>
      <c r="E412" s="21"/>
      <c r="F412" s="2">
        <f t="shared" si="9"/>
        <v>0</v>
      </c>
      <c r="G412" s="3" t="str">
        <f>HYPERLINK("http://tmmp-catalog.com.ua/katalog/8/13433/","фото")</f>
        <v>фото</v>
      </c>
      <c r="H412" s="22"/>
    </row>
    <row r="413" spans="1:8" ht="15" x14ac:dyDescent="0.2">
      <c r="A413" s="18">
        <v>2000000032245</v>
      </c>
      <c r="B413" s="19" t="s">
        <v>875</v>
      </c>
      <c r="C413" s="20" t="s">
        <v>876</v>
      </c>
      <c r="D413" s="2">
        <v>1.3</v>
      </c>
      <c r="E413" s="21"/>
      <c r="F413" s="2">
        <f t="shared" si="9"/>
        <v>0</v>
      </c>
      <c r="G413" s="3" t="str">
        <f>HYPERLINK("http://tmmp-catalog.com.ua/katalog/8/13434/","фото")</f>
        <v>фото</v>
      </c>
      <c r="H413" s="22"/>
    </row>
    <row r="414" spans="1:8" ht="15" x14ac:dyDescent="0.2">
      <c r="A414" s="18">
        <v>2000000032429</v>
      </c>
      <c r="B414" s="19" t="s">
        <v>877</v>
      </c>
      <c r="C414" s="20" t="s">
        <v>878</v>
      </c>
      <c r="D414" s="2">
        <v>2.9</v>
      </c>
      <c r="E414" s="21"/>
      <c r="F414" s="2">
        <f t="shared" si="9"/>
        <v>0</v>
      </c>
      <c r="G414" s="3" t="str">
        <f>HYPERLINK("http://tmmp-catalog.com.ua/katalog/8/13452/","фото")</f>
        <v>фото</v>
      </c>
      <c r="H414" s="22"/>
    </row>
    <row r="415" spans="1:8" ht="15" x14ac:dyDescent="0.2">
      <c r="A415" s="18"/>
      <c r="B415" s="19" t="s">
        <v>879</v>
      </c>
      <c r="C415" s="20" t="s">
        <v>880</v>
      </c>
      <c r="D415" s="2">
        <v>1.6</v>
      </c>
      <c r="E415" s="21"/>
      <c r="F415" s="2">
        <f t="shared" si="9"/>
        <v>0</v>
      </c>
      <c r="G415" s="3" t="str">
        <f>HYPERLINK("http://tmmp-catalog.com.ua/katalog/37/18425/","фото")</f>
        <v>фото</v>
      </c>
      <c r="H415" s="22"/>
    </row>
    <row r="416" spans="1:8" ht="15" x14ac:dyDescent="0.2">
      <c r="A416" s="18"/>
      <c r="B416" s="19" t="s">
        <v>881</v>
      </c>
      <c r="C416" s="20" t="s">
        <v>882</v>
      </c>
      <c r="D416" s="2">
        <v>2.5</v>
      </c>
      <c r="E416" s="21"/>
      <c r="F416" s="2">
        <f t="shared" si="9"/>
        <v>0</v>
      </c>
      <c r="G416" s="3" t="str">
        <f>HYPERLINK("http://tmmp-catalog.com.ua/katalog/8/17760/","фото")</f>
        <v>фото</v>
      </c>
      <c r="H416" s="22"/>
    </row>
    <row r="417" spans="1:8" ht="15" x14ac:dyDescent="0.2">
      <c r="A417" s="18"/>
      <c r="B417" s="19" t="s">
        <v>883</v>
      </c>
      <c r="C417" s="20" t="s">
        <v>884</v>
      </c>
      <c r="D417" s="2">
        <v>2</v>
      </c>
      <c r="E417" s="21"/>
      <c r="F417" s="2">
        <f t="shared" si="9"/>
        <v>0</v>
      </c>
      <c r="G417" s="3" t="str">
        <f>HYPERLINK("http://tmmp-catalog.com.ua/katalog/37/18426/","фото")</f>
        <v>фото</v>
      </c>
      <c r="H417" s="22"/>
    </row>
    <row r="418" spans="1:8" ht="15" x14ac:dyDescent="0.2">
      <c r="A418" s="18">
        <v>2000000032436</v>
      </c>
      <c r="B418" s="19" t="s">
        <v>885</v>
      </c>
      <c r="C418" s="20" t="s">
        <v>886</v>
      </c>
      <c r="D418" s="2">
        <v>3.3</v>
      </c>
      <c r="E418" s="21"/>
      <c r="F418" s="2">
        <f t="shared" si="9"/>
        <v>0</v>
      </c>
      <c r="G418" s="3" t="str">
        <f>HYPERLINK("http://tmmp-catalog.com.ua/katalog/8/13453/","фото")</f>
        <v>фото</v>
      </c>
      <c r="H418" s="22"/>
    </row>
    <row r="419" spans="1:8" ht="15" x14ac:dyDescent="0.2">
      <c r="A419" s="18">
        <v>2000000032382</v>
      </c>
      <c r="B419" s="19" t="s">
        <v>887</v>
      </c>
      <c r="C419" s="20" t="s">
        <v>888</v>
      </c>
      <c r="D419" s="2">
        <v>1.7</v>
      </c>
      <c r="E419" s="21"/>
      <c r="F419" s="2">
        <f t="shared" si="9"/>
        <v>0</v>
      </c>
      <c r="G419" s="3" t="str">
        <f>HYPERLINK("http://tmmp-catalog.com.ua/katalog/8/13448/","фото")</f>
        <v>фото</v>
      </c>
      <c r="H419" s="22"/>
    </row>
    <row r="420" spans="1:8" ht="15" x14ac:dyDescent="0.2">
      <c r="A420" s="18">
        <v>2000000032467</v>
      </c>
      <c r="B420" s="19" t="s">
        <v>889</v>
      </c>
      <c r="C420" s="20" t="s">
        <v>890</v>
      </c>
      <c r="D420" s="2">
        <v>2.9</v>
      </c>
      <c r="E420" s="21"/>
      <c r="F420" s="2">
        <f t="shared" si="9"/>
        <v>0</v>
      </c>
      <c r="G420" s="3" t="str">
        <f>HYPERLINK("http://tmmp-catalog.com.ua/katalog/8/13456/","фото")</f>
        <v>фото</v>
      </c>
      <c r="H420" s="22"/>
    </row>
    <row r="421" spans="1:8" ht="15" x14ac:dyDescent="0.2">
      <c r="A421" s="18"/>
      <c r="B421" s="19" t="s">
        <v>891</v>
      </c>
      <c r="C421" s="20" t="s">
        <v>892</v>
      </c>
      <c r="D421" s="2">
        <v>2</v>
      </c>
      <c r="E421" s="21"/>
      <c r="F421" s="2">
        <f t="shared" si="9"/>
        <v>0</v>
      </c>
      <c r="G421" s="3" t="str">
        <f>HYPERLINK("http://tmmp-catalog.com.ua/katalog/37/18429/","фото")</f>
        <v>фото</v>
      </c>
      <c r="H421" s="22"/>
    </row>
    <row r="422" spans="1:8" ht="15" x14ac:dyDescent="0.2">
      <c r="A422" s="18">
        <v>2000000032276</v>
      </c>
      <c r="B422" s="19" t="s">
        <v>893</v>
      </c>
      <c r="C422" s="20" t="s">
        <v>894</v>
      </c>
      <c r="D422" s="2">
        <v>1.8</v>
      </c>
      <c r="E422" s="21"/>
      <c r="F422" s="2">
        <f t="shared" si="9"/>
        <v>0</v>
      </c>
      <c r="G422" s="3" t="str">
        <f>HYPERLINK("http://tmmp-catalog.com.ua/katalog/8/13437/","фото")</f>
        <v>фото</v>
      </c>
      <c r="H422" s="22"/>
    </row>
    <row r="423" spans="1:8" ht="15" x14ac:dyDescent="0.2">
      <c r="A423" s="18"/>
      <c r="B423" s="19" t="s">
        <v>895</v>
      </c>
      <c r="C423" s="20" t="s">
        <v>896</v>
      </c>
      <c r="D423" s="2">
        <v>1.7</v>
      </c>
      <c r="E423" s="21"/>
      <c r="F423" s="2">
        <f t="shared" si="9"/>
        <v>0</v>
      </c>
      <c r="G423" s="3" t="str">
        <f>HYPERLINK("http://tmmp-catalog.com.ua/katalog/37/18430/","фото")</f>
        <v>фото</v>
      </c>
      <c r="H423" s="22"/>
    </row>
    <row r="424" spans="1:8" ht="15" x14ac:dyDescent="0.2">
      <c r="A424" s="18">
        <v>2000000032283</v>
      </c>
      <c r="B424" s="19" t="s">
        <v>897</v>
      </c>
      <c r="C424" s="20" t="s">
        <v>898</v>
      </c>
      <c r="D424" s="2">
        <v>1.8</v>
      </c>
      <c r="E424" s="21"/>
      <c r="F424" s="2">
        <f t="shared" si="9"/>
        <v>0</v>
      </c>
      <c r="G424" s="3" t="str">
        <f>HYPERLINK("http://tmmp-catalog.com.ua/katalog/8/13438/","фото")</f>
        <v>фото</v>
      </c>
      <c r="H424" s="22"/>
    </row>
    <row r="425" spans="1:8" ht="15" x14ac:dyDescent="0.2">
      <c r="A425" s="18"/>
      <c r="B425" s="19" t="s">
        <v>899</v>
      </c>
      <c r="C425" s="20" t="s">
        <v>900</v>
      </c>
      <c r="D425" s="2">
        <v>2</v>
      </c>
      <c r="E425" s="21"/>
      <c r="F425" s="2">
        <f t="shared" si="9"/>
        <v>0</v>
      </c>
      <c r="G425" s="3" t="str">
        <f>HYPERLINK("http://tmmp-catalog.com.ua/katalog/37/18431/","фото")</f>
        <v>фото</v>
      </c>
      <c r="H425" s="22"/>
    </row>
    <row r="426" spans="1:8" ht="15" x14ac:dyDescent="0.2">
      <c r="A426" s="18">
        <v>2000000032290</v>
      </c>
      <c r="B426" s="19" t="s">
        <v>901</v>
      </c>
      <c r="C426" s="20" t="s">
        <v>902</v>
      </c>
      <c r="D426" s="2">
        <v>1.8</v>
      </c>
      <c r="E426" s="21"/>
      <c r="F426" s="2">
        <f t="shared" si="9"/>
        <v>0</v>
      </c>
      <c r="G426" s="3" t="str">
        <f>HYPERLINK("http://tmmp-catalog.com.ua/katalog/8/13439/","фото")</f>
        <v>фото</v>
      </c>
      <c r="H426" s="22"/>
    </row>
    <row r="427" spans="1:8" ht="15" x14ac:dyDescent="0.2">
      <c r="A427" s="18"/>
      <c r="B427" s="19" t="s">
        <v>903</v>
      </c>
      <c r="C427" s="20" t="s">
        <v>904</v>
      </c>
      <c r="D427" s="2">
        <v>1.5</v>
      </c>
      <c r="E427" s="21"/>
      <c r="F427" s="2">
        <f t="shared" si="9"/>
        <v>0</v>
      </c>
      <c r="G427" s="3" t="str">
        <f>HYPERLINK("http://tmmp-catalog.com.ua/katalog/37/18432/","фото")</f>
        <v>фото</v>
      </c>
      <c r="H427" s="22"/>
    </row>
    <row r="428" spans="1:8" ht="15" x14ac:dyDescent="0.2">
      <c r="A428" s="18">
        <v>2000000032450</v>
      </c>
      <c r="B428" s="19" t="s">
        <v>905</v>
      </c>
      <c r="C428" s="20" t="s">
        <v>906</v>
      </c>
      <c r="D428" s="2">
        <v>3.5</v>
      </c>
      <c r="E428" s="21"/>
      <c r="F428" s="2">
        <f t="shared" si="9"/>
        <v>0</v>
      </c>
      <c r="G428" s="3" t="str">
        <f>HYPERLINK("http://tmmp-catalog.com.ua/katalog/8/13455/","фото")</f>
        <v>фото</v>
      </c>
      <c r="H428" s="22"/>
    </row>
    <row r="429" spans="1:8" ht="15" x14ac:dyDescent="0.2">
      <c r="A429" s="18"/>
      <c r="B429" s="19" t="s">
        <v>907</v>
      </c>
      <c r="C429" s="20" t="s">
        <v>908</v>
      </c>
      <c r="D429" s="2">
        <v>3</v>
      </c>
      <c r="E429" s="21"/>
      <c r="F429" s="2">
        <f t="shared" si="9"/>
        <v>0</v>
      </c>
      <c r="G429" s="3" t="str">
        <f>HYPERLINK("http://tmmp-catalog.com.ua/katalog/8/18799/","фото")</f>
        <v>фото</v>
      </c>
      <c r="H429" s="22"/>
    </row>
    <row r="430" spans="1:8" ht="15" x14ac:dyDescent="0.2">
      <c r="A430" s="18">
        <v>2000000032320</v>
      </c>
      <c r="B430" s="19" t="s">
        <v>909</v>
      </c>
      <c r="C430" s="20" t="s">
        <v>910</v>
      </c>
      <c r="D430" s="2">
        <v>1.5</v>
      </c>
      <c r="E430" s="21"/>
      <c r="F430" s="2">
        <f t="shared" si="9"/>
        <v>0</v>
      </c>
      <c r="G430" s="3" t="str">
        <f>HYPERLINK("http://tmmp-catalog.com.ua/katalog/8/13442/","фото")</f>
        <v>фото</v>
      </c>
      <c r="H430" s="22"/>
    </row>
    <row r="431" spans="1:8" ht="15" x14ac:dyDescent="0.2">
      <c r="A431" s="18">
        <v>2000000032337</v>
      </c>
      <c r="B431" s="19" t="s">
        <v>911</v>
      </c>
      <c r="C431" s="20" t="s">
        <v>912</v>
      </c>
      <c r="D431" s="2">
        <v>1.5</v>
      </c>
      <c r="E431" s="21"/>
      <c r="F431" s="2">
        <f t="shared" si="9"/>
        <v>0</v>
      </c>
      <c r="G431" s="3" t="str">
        <f>HYPERLINK("http://tmmp-catalog.com.ua/katalog/8/13443/","фото")</f>
        <v>фото</v>
      </c>
      <c r="H431" s="22"/>
    </row>
    <row r="432" spans="1:8" ht="15" x14ac:dyDescent="0.2">
      <c r="A432" s="18">
        <v>2000000032344</v>
      </c>
      <c r="B432" s="19" t="s">
        <v>913</v>
      </c>
      <c r="C432" s="20" t="s">
        <v>914</v>
      </c>
      <c r="D432" s="2">
        <v>1.5</v>
      </c>
      <c r="E432" s="21"/>
      <c r="F432" s="2">
        <f t="shared" si="9"/>
        <v>0</v>
      </c>
      <c r="G432" s="3" t="str">
        <f>HYPERLINK("http://tmmp-catalog.com.ua/katalog/8/13444/","фото")</f>
        <v>фото</v>
      </c>
      <c r="H432" s="22"/>
    </row>
    <row r="433" spans="1:8" ht="15" x14ac:dyDescent="0.2">
      <c r="A433" s="18">
        <v>2000000032351</v>
      </c>
      <c r="B433" s="19" t="s">
        <v>915</v>
      </c>
      <c r="C433" s="20" t="s">
        <v>916</v>
      </c>
      <c r="D433" s="2">
        <v>1.5</v>
      </c>
      <c r="E433" s="21"/>
      <c r="F433" s="2">
        <f t="shared" si="9"/>
        <v>0</v>
      </c>
      <c r="G433" s="3" t="str">
        <f>HYPERLINK("http://tmmp-catalog.com.ua/katalog/8/13445/","фото")</f>
        <v>фото</v>
      </c>
      <c r="H433" s="22"/>
    </row>
    <row r="434" spans="1:8" ht="15" x14ac:dyDescent="0.2">
      <c r="A434" s="18">
        <v>2000000032313</v>
      </c>
      <c r="B434" s="19" t="s">
        <v>917</v>
      </c>
      <c r="C434" s="20" t="s">
        <v>918</v>
      </c>
      <c r="D434" s="2">
        <v>1.5</v>
      </c>
      <c r="E434" s="21"/>
      <c r="F434" s="2">
        <f t="shared" si="9"/>
        <v>0</v>
      </c>
      <c r="G434" s="3" t="str">
        <f>HYPERLINK("http://tmmp-catalog.com.ua/katalog/8/13441/","фото")</f>
        <v>фото</v>
      </c>
      <c r="H434" s="22"/>
    </row>
    <row r="435" spans="1:8" ht="15" x14ac:dyDescent="0.2">
      <c r="A435" s="18">
        <v>2000000032474</v>
      </c>
      <c r="B435" s="19" t="s">
        <v>919</v>
      </c>
      <c r="C435" s="20" t="s">
        <v>920</v>
      </c>
      <c r="D435" s="2">
        <v>0.1</v>
      </c>
      <c r="E435" s="21"/>
      <c r="F435" s="2">
        <f t="shared" si="9"/>
        <v>0</v>
      </c>
      <c r="G435" s="3" t="str">
        <f>HYPERLINK("http://tmmp-catalog.com.ua/katalog/8/13457/","фото")</f>
        <v>фото</v>
      </c>
      <c r="H435" s="22"/>
    </row>
    <row r="436" spans="1:8" ht="15" x14ac:dyDescent="0.2">
      <c r="A436" s="18">
        <v>2000000032481</v>
      </c>
      <c r="B436" s="19" t="s">
        <v>921</v>
      </c>
      <c r="C436" s="20" t="s">
        <v>922</v>
      </c>
      <c r="D436" s="2">
        <v>0.15</v>
      </c>
      <c r="E436" s="21"/>
      <c r="F436" s="2">
        <f t="shared" si="9"/>
        <v>0</v>
      </c>
      <c r="G436" s="3" t="str">
        <f>HYPERLINK("http://tmmp-catalog.com.ua/katalog/8/13458/","фото")</f>
        <v>фото</v>
      </c>
      <c r="H436" s="22"/>
    </row>
    <row r="437" spans="1:8" ht="15" x14ac:dyDescent="0.2">
      <c r="A437" s="18">
        <v>2000000032498</v>
      </c>
      <c r="B437" s="19" t="s">
        <v>923</v>
      </c>
      <c r="C437" s="20" t="s">
        <v>924</v>
      </c>
      <c r="D437" s="2">
        <v>0.3</v>
      </c>
      <c r="E437" s="21"/>
      <c r="F437" s="2">
        <f t="shared" si="9"/>
        <v>0</v>
      </c>
      <c r="G437" s="3" t="str">
        <f>HYPERLINK("http://tmmp-catalog.com.ua/katalog/8/13459/","фото")</f>
        <v>фото</v>
      </c>
      <c r="H437" s="22"/>
    </row>
    <row r="438" spans="1:8" ht="15" x14ac:dyDescent="0.2">
      <c r="A438" s="18">
        <v>2000000032504</v>
      </c>
      <c r="B438" s="19" t="s">
        <v>925</v>
      </c>
      <c r="C438" s="20" t="s">
        <v>926</v>
      </c>
      <c r="D438" s="2">
        <v>0.9</v>
      </c>
      <c r="E438" s="21"/>
      <c r="F438" s="2">
        <f t="shared" si="9"/>
        <v>0</v>
      </c>
      <c r="G438" s="3" t="str">
        <f>HYPERLINK("http://tmmp-catalog.com.ua/katalog/8/13460/","фото")</f>
        <v>фото</v>
      </c>
      <c r="H438" s="22"/>
    </row>
    <row r="439" spans="1:8" ht="15" x14ac:dyDescent="0.2">
      <c r="A439" s="18">
        <v>2000000029603</v>
      </c>
      <c r="B439" s="19" t="s">
        <v>927</v>
      </c>
      <c r="C439" s="20" t="s">
        <v>928</v>
      </c>
      <c r="D439" s="2">
        <v>0.35</v>
      </c>
      <c r="E439" s="21"/>
      <c r="F439" s="2">
        <f t="shared" si="9"/>
        <v>0</v>
      </c>
      <c r="G439" s="3" t="str">
        <f>HYPERLINK("http://tmmp-catalog.com.ua/katalog/8/13159/","фото")</f>
        <v>фото</v>
      </c>
      <c r="H439" s="22"/>
    </row>
    <row r="440" spans="1:8" ht="15" x14ac:dyDescent="0.2">
      <c r="A440" s="18">
        <v>2000000032542</v>
      </c>
      <c r="B440" s="19" t="s">
        <v>929</v>
      </c>
      <c r="C440" s="20" t="s">
        <v>930</v>
      </c>
      <c r="D440" s="2">
        <v>5.8</v>
      </c>
      <c r="E440" s="21"/>
      <c r="F440" s="2">
        <f t="shared" si="9"/>
        <v>0</v>
      </c>
      <c r="G440" s="3" t="str">
        <f>HYPERLINK("http://tmmp-catalog.com.ua/katalog/8/13465/","фото")</f>
        <v>фото</v>
      </c>
      <c r="H440" s="22"/>
    </row>
    <row r="441" spans="1:8" ht="15" x14ac:dyDescent="0.2">
      <c r="A441" s="18">
        <v>2000000032528</v>
      </c>
      <c r="B441" s="19" t="s">
        <v>931</v>
      </c>
      <c r="C441" s="20" t="s">
        <v>932</v>
      </c>
      <c r="D441" s="2">
        <v>5.5</v>
      </c>
      <c r="E441" s="21"/>
      <c r="F441" s="2">
        <f t="shared" ref="F441:F504" si="10">cena*zakaz</f>
        <v>0</v>
      </c>
      <c r="G441" s="3" t="str">
        <f>HYPERLINK("http://tmmp-catalog.com.ua/katalog/8/13463/","фото")</f>
        <v>фото</v>
      </c>
      <c r="H441" s="22"/>
    </row>
    <row r="442" spans="1:8" ht="15" x14ac:dyDescent="0.2">
      <c r="A442" s="18">
        <v>2000000032559</v>
      </c>
      <c r="B442" s="19" t="s">
        <v>933</v>
      </c>
      <c r="C442" s="20" t="s">
        <v>934</v>
      </c>
      <c r="D442" s="2">
        <v>0.05</v>
      </c>
      <c r="E442" s="21"/>
      <c r="F442" s="2">
        <f t="shared" si="10"/>
        <v>0</v>
      </c>
      <c r="G442" s="3" t="str">
        <f>HYPERLINK("http://tmmp-catalog.com.ua/katalog/8/13466/","фото")</f>
        <v>фото</v>
      </c>
      <c r="H442" s="22"/>
    </row>
    <row r="443" spans="1:8" ht="15" x14ac:dyDescent="0.2">
      <c r="A443" s="18">
        <v>2000000033211</v>
      </c>
      <c r="B443" s="19" t="s">
        <v>935</v>
      </c>
      <c r="C443" s="20" t="s">
        <v>936</v>
      </c>
      <c r="D443" s="2">
        <v>0.15</v>
      </c>
      <c r="E443" s="21"/>
      <c r="F443" s="2">
        <f t="shared" si="10"/>
        <v>0</v>
      </c>
      <c r="G443" s="3" t="str">
        <f>HYPERLINK("http://tmmp-catalog.com.ua/katalog/8/13542/","фото")</f>
        <v>фото</v>
      </c>
      <c r="H443" s="22"/>
    </row>
    <row r="444" spans="1:8" ht="15" x14ac:dyDescent="0.2">
      <c r="A444" s="18">
        <v>2000000031705</v>
      </c>
      <c r="B444" s="19" t="s">
        <v>937</v>
      </c>
      <c r="C444" s="20" t="s">
        <v>938</v>
      </c>
      <c r="D444" s="2">
        <v>1.1000000000000001</v>
      </c>
      <c r="E444" s="21"/>
      <c r="F444" s="2">
        <f t="shared" si="10"/>
        <v>0</v>
      </c>
      <c r="G444" s="3" t="str">
        <f>HYPERLINK("http://tmmp-catalog.com.ua/katalog/8/13376/","фото")</f>
        <v>фото</v>
      </c>
      <c r="H444" s="22"/>
    </row>
    <row r="445" spans="1:8" ht="15" x14ac:dyDescent="0.2">
      <c r="A445" s="18">
        <v>2000000031729</v>
      </c>
      <c r="B445" s="19" t="s">
        <v>939</v>
      </c>
      <c r="C445" s="20" t="s">
        <v>940</v>
      </c>
      <c r="D445" s="2">
        <v>1.1000000000000001</v>
      </c>
      <c r="E445" s="21"/>
      <c r="F445" s="2">
        <f t="shared" si="10"/>
        <v>0</v>
      </c>
      <c r="G445" s="3" t="str">
        <f>HYPERLINK("http://tmmp-catalog.com.ua/katalog/8/13378/","фото")</f>
        <v>фото</v>
      </c>
      <c r="H445" s="22"/>
    </row>
    <row r="446" spans="1:8" ht="15" x14ac:dyDescent="0.2">
      <c r="A446" s="18">
        <v>2000000031736</v>
      </c>
      <c r="B446" s="19" t="s">
        <v>941</v>
      </c>
      <c r="C446" s="20" t="s">
        <v>942</v>
      </c>
      <c r="D446" s="2">
        <v>0.65</v>
      </c>
      <c r="E446" s="21"/>
      <c r="F446" s="2">
        <f t="shared" si="10"/>
        <v>0</v>
      </c>
      <c r="G446" s="3" t="str">
        <f>HYPERLINK("http://tmmp-catalog.com.ua/katalog/8/13379/","фото")</f>
        <v>фото</v>
      </c>
      <c r="H446" s="22"/>
    </row>
    <row r="447" spans="1:8" ht="15" x14ac:dyDescent="0.2">
      <c r="A447" s="18">
        <v>2000000031743</v>
      </c>
      <c r="B447" s="19" t="s">
        <v>943</v>
      </c>
      <c r="C447" s="20" t="s">
        <v>944</v>
      </c>
      <c r="D447" s="2">
        <v>0.5</v>
      </c>
      <c r="E447" s="21"/>
      <c r="F447" s="2">
        <f t="shared" si="10"/>
        <v>0</v>
      </c>
      <c r="G447" s="3" t="str">
        <f>HYPERLINK("http://tmmp-catalog.com.ua/katalog/8/13380/","фото")</f>
        <v>фото</v>
      </c>
      <c r="H447" s="22"/>
    </row>
    <row r="448" spans="1:8" ht="15" x14ac:dyDescent="0.2">
      <c r="A448" s="18">
        <v>2000000034171</v>
      </c>
      <c r="B448" s="19" t="s">
        <v>945</v>
      </c>
      <c r="C448" s="20" t="s">
        <v>946</v>
      </c>
      <c r="D448" s="2">
        <v>0.5</v>
      </c>
      <c r="E448" s="21"/>
      <c r="F448" s="2">
        <f t="shared" si="10"/>
        <v>0</v>
      </c>
      <c r="G448" s="3" t="str">
        <f>HYPERLINK("http://tmmp-catalog.com.ua/katalog/8/16938/","фото")</f>
        <v>фото</v>
      </c>
      <c r="H448" s="22"/>
    </row>
    <row r="449" spans="1:8" ht="15" x14ac:dyDescent="0.2">
      <c r="A449" s="18">
        <v>2000000031750</v>
      </c>
      <c r="B449" s="19" t="s">
        <v>947</v>
      </c>
      <c r="C449" s="20" t="s">
        <v>948</v>
      </c>
      <c r="D449" s="2">
        <v>0.6</v>
      </c>
      <c r="E449" s="21"/>
      <c r="F449" s="2">
        <f t="shared" si="10"/>
        <v>0</v>
      </c>
      <c r="G449" s="3" t="str">
        <f>HYPERLINK("http://tmmp-catalog.com.ua/katalog/8/13381/","фото")</f>
        <v>фото</v>
      </c>
      <c r="H449" s="22"/>
    </row>
    <row r="450" spans="1:8" ht="15" x14ac:dyDescent="0.2">
      <c r="A450" s="18"/>
      <c r="B450" s="19" t="s">
        <v>949</v>
      </c>
      <c r="C450" s="20" t="s">
        <v>950</v>
      </c>
      <c r="D450" s="2">
        <v>0.35</v>
      </c>
      <c r="E450" s="21"/>
      <c r="F450" s="2">
        <f t="shared" si="10"/>
        <v>0</v>
      </c>
      <c r="G450" s="3" t="str">
        <f>HYPERLINK("http://tmmp-catalog.com.ua/katalog/37/18475/","фото")</f>
        <v>фото</v>
      </c>
      <c r="H450" s="22"/>
    </row>
    <row r="451" spans="1:8" ht="15" x14ac:dyDescent="0.2">
      <c r="A451" s="18">
        <v>2000000031781</v>
      </c>
      <c r="B451" s="19" t="s">
        <v>951</v>
      </c>
      <c r="C451" s="20" t="s">
        <v>952</v>
      </c>
      <c r="D451" s="2">
        <v>0.6</v>
      </c>
      <c r="E451" s="21"/>
      <c r="F451" s="2">
        <f t="shared" si="10"/>
        <v>0</v>
      </c>
      <c r="G451" s="3" t="str">
        <f>HYPERLINK("http://tmmp-catalog.com.ua/katalog/8/13384/","фото")</f>
        <v>фото</v>
      </c>
      <c r="H451" s="22"/>
    </row>
    <row r="452" spans="1:8" ht="15" x14ac:dyDescent="0.2">
      <c r="A452" s="18">
        <v>2000000031774</v>
      </c>
      <c r="B452" s="19" t="s">
        <v>953</v>
      </c>
      <c r="C452" s="20" t="s">
        <v>954</v>
      </c>
      <c r="D452" s="2">
        <v>0.25</v>
      </c>
      <c r="E452" s="21"/>
      <c r="F452" s="2">
        <f t="shared" si="10"/>
        <v>0</v>
      </c>
      <c r="G452" s="3" t="str">
        <f>HYPERLINK("http://tmmp-catalog.com.ua/katalog/8/13383/","фото")</f>
        <v>фото</v>
      </c>
      <c r="H452" s="22"/>
    </row>
    <row r="453" spans="1:8" ht="15" x14ac:dyDescent="0.2">
      <c r="A453" s="18">
        <v>2000000032566</v>
      </c>
      <c r="B453" s="19" t="s">
        <v>955</v>
      </c>
      <c r="C453" s="20" t="s">
        <v>956</v>
      </c>
      <c r="D453" s="2">
        <v>0.2</v>
      </c>
      <c r="E453" s="21"/>
      <c r="F453" s="2">
        <f t="shared" si="10"/>
        <v>0</v>
      </c>
      <c r="G453" s="3" t="str">
        <f>HYPERLINK("http://tmmp-catalog.com.ua/katalog/8/13467/","фото")</f>
        <v>фото</v>
      </c>
      <c r="H453" s="22"/>
    </row>
    <row r="454" spans="1:8" ht="15" x14ac:dyDescent="0.2">
      <c r="A454" s="18">
        <v>2000000032573</v>
      </c>
      <c r="B454" s="19" t="s">
        <v>957</v>
      </c>
      <c r="C454" s="20" t="s">
        <v>958</v>
      </c>
      <c r="D454" s="2">
        <v>0.1</v>
      </c>
      <c r="E454" s="21"/>
      <c r="F454" s="2">
        <f t="shared" si="10"/>
        <v>0</v>
      </c>
      <c r="G454" s="3" t="str">
        <f>HYPERLINK("http://tmmp-catalog.com.ua/katalog/8/13468/","фото")</f>
        <v>фото</v>
      </c>
      <c r="H454" s="22"/>
    </row>
    <row r="455" spans="1:8" ht="15" x14ac:dyDescent="0.2">
      <c r="A455" s="18">
        <v>2000000032580</v>
      </c>
      <c r="B455" s="19" t="s">
        <v>959</v>
      </c>
      <c r="C455" s="20" t="s">
        <v>960</v>
      </c>
      <c r="D455" s="2">
        <v>0.15</v>
      </c>
      <c r="E455" s="21"/>
      <c r="F455" s="2">
        <f t="shared" si="10"/>
        <v>0</v>
      </c>
      <c r="G455" s="3" t="str">
        <f>HYPERLINK("http://tmmp-catalog.com.ua/katalog/8/13469/","фото")</f>
        <v>фото</v>
      </c>
      <c r="H455" s="22"/>
    </row>
    <row r="456" spans="1:8" ht="15" x14ac:dyDescent="0.2">
      <c r="A456" s="18">
        <v>2000000032610</v>
      </c>
      <c r="B456" s="19" t="s">
        <v>961</v>
      </c>
      <c r="C456" s="20" t="s">
        <v>962</v>
      </c>
      <c r="D456" s="2">
        <v>0.3</v>
      </c>
      <c r="E456" s="21"/>
      <c r="F456" s="2">
        <f t="shared" si="10"/>
        <v>0</v>
      </c>
      <c r="G456" s="3" t="str">
        <f>HYPERLINK("http://tmmp-catalog.com.ua/katalog/8/13473/","фото")</f>
        <v>фото</v>
      </c>
      <c r="H456" s="22"/>
    </row>
    <row r="457" spans="1:8" ht="15" x14ac:dyDescent="0.2">
      <c r="A457" s="18">
        <v>2000000032627</v>
      </c>
      <c r="B457" s="19" t="s">
        <v>963</v>
      </c>
      <c r="C457" s="20" t="s">
        <v>964</v>
      </c>
      <c r="D457" s="2">
        <v>3.4</v>
      </c>
      <c r="E457" s="21"/>
      <c r="F457" s="2">
        <f t="shared" si="10"/>
        <v>0</v>
      </c>
      <c r="G457" s="3" t="str">
        <f>HYPERLINK("http://tmmp-catalog.com.ua/katalog/8/13475/","фото")</f>
        <v>фото</v>
      </c>
      <c r="H457" s="22"/>
    </row>
    <row r="458" spans="1:8" ht="15" x14ac:dyDescent="0.2">
      <c r="A458" s="18">
        <v>2000000034218</v>
      </c>
      <c r="B458" s="19" t="s">
        <v>965</v>
      </c>
      <c r="C458" s="20" t="s">
        <v>966</v>
      </c>
      <c r="D458" s="2">
        <v>3</v>
      </c>
      <c r="E458" s="21"/>
      <c r="F458" s="2">
        <f t="shared" si="10"/>
        <v>0</v>
      </c>
      <c r="G458" s="3" t="str">
        <f>HYPERLINK("http://tmmp-catalog.com.ua/katalog/8/16942/","фото")</f>
        <v>фото</v>
      </c>
      <c r="H458" s="22"/>
    </row>
    <row r="459" spans="1:8" ht="15" x14ac:dyDescent="0.2">
      <c r="A459" s="18">
        <v>2000000032634</v>
      </c>
      <c r="B459" s="19" t="s">
        <v>967</v>
      </c>
      <c r="C459" s="20" t="s">
        <v>968</v>
      </c>
      <c r="D459" s="2">
        <v>0.05</v>
      </c>
      <c r="E459" s="21"/>
      <c r="F459" s="2">
        <f t="shared" si="10"/>
        <v>0</v>
      </c>
      <c r="G459" s="3" t="str">
        <f>HYPERLINK("http://tmmp-catalog.com.ua/katalog/8/13477/","фото")</f>
        <v>фото</v>
      </c>
      <c r="H459" s="22"/>
    </row>
    <row r="460" spans="1:8" ht="15" x14ac:dyDescent="0.2">
      <c r="A460" s="18">
        <v>2000000032641</v>
      </c>
      <c r="B460" s="19" t="s">
        <v>969</v>
      </c>
      <c r="C460" s="20" t="s">
        <v>970</v>
      </c>
      <c r="D460" s="2">
        <v>0.2</v>
      </c>
      <c r="E460" s="21"/>
      <c r="F460" s="2">
        <f t="shared" si="10"/>
        <v>0</v>
      </c>
      <c r="G460" s="3" t="str">
        <f>HYPERLINK("http://tmmp-catalog.com.ua/katalog/8/13478/","фото")</f>
        <v>фото</v>
      </c>
      <c r="H460" s="22"/>
    </row>
    <row r="461" spans="1:8" ht="15" x14ac:dyDescent="0.2">
      <c r="A461" s="18">
        <v>2000000032658</v>
      </c>
      <c r="B461" s="19" t="s">
        <v>971</v>
      </c>
      <c r="C461" s="20" t="s">
        <v>972</v>
      </c>
      <c r="D461" s="2">
        <v>0.1</v>
      </c>
      <c r="E461" s="21"/>
      <c r="F461" s="2">
        <f t="shared" si="10"/>
        <v>0</v>
      </c>
      <c r="G461" s="3" t="str">
        <f>HYPERLINK("http://tmmp-catalog.com.ua/katalog/8/13479/","фото")</f>
        <v>фото</v>
      </c>
      <c r="H461" s="22"/>
    </row>
    <row r="462" spans="1:8" ht="15" x14ac:dyDescent="0.2">
      <c r="A462" s="18"/>
      <c r="B462" s="19" t="s">
        <v>973</v>
      </c>
      <c r="C462" s="20" t="s">
        <v>974</v>
      </c>
      <c r="D462" s="2">
        <v>0.9</v>
      </c>
      <c r="E462" s="21"/>
      <c r="F462" s="2">
        <f t="shared" si="10"/>
        <v>0</v>
      </c>
      <c r="G462" s="3" t="str">
        <f>HYPERLINK("http://tmmp-catalog.com.ua/katalog/8/18734/","фото")</f>
        <v>фото</v>
      </c>
      <c r="H462" s="22"/>
    </row>
    <row r="463" spans="1:8" ht="15" x14ac:dyDescent="0.2">
      <c r="A463" s="18"/>
      <c r="B463" s="19" t="s">
        <v>975</v>
      </c>
      <c r="C463" s="20" t="s">
        <v>976</v>
      </c>
      <c r="D463" s="2">
        <v>0.9</v>
      </c>
      <c r="E463" s="21"/>
      <c r="F463" s="2">
        <f t="shared" si="10"/>
        <v>0</v>
      </c>
      <c r="G463" s="3" t="str">
        <f>HYPERLINK("http://tmmp-catalog.com.ua/katalog/8/18735/","фото")</f>
        <v>фото</v>
      </c>
      <c r="H463" s="22"/>
    </row>
    <row r="464" spans="1:8" ht="15" x14ac:dyDescent="0.2">
      <c r="A464" s="18"/>
      <c r="B464" s="19" t="s">
        <v>977</v>
      </c>
      <c r="C464" s="20" t="s">
        <v>978</v>
      </c>
      <c r="D464" s="2">
        <v>0.9</v>
      </c>
      <c r="E464" s="21"/>
      <c r="F464" s="2">
        <f t="shared" si="10"/>
        <v>0</v>
      </c>
      <c r="G464" s="3" t="str">
        <f>HYPERLINK("http://tmmp-catalog.com.ua/katalog/37/18685/","фото")</f>
        <v>фото</v>
      </c>
      <c r="H464" s="22"/>
    </row>
    <row r="465" spans="1:8" ht="15" x14ac:dyDescent="0.2">
      <c r="A465" s="18"/>
      <c r="B465" s="19" t="s">
        <v>979</v>
      </c>
      <c r="C465" s="20" t="s">
        <v>980</v>
      </c>
      <c r="D465" s="2">
        <v>0.9</v>
      </c>
      <c r="E465" s="21"/>
      <c r="F465" s="2">
        <f t="shared" si="10"/>
        <v>0</v>
      </c>
      <c r="G465" s="3" t="str">
        <f>HYPERLINK("http://tmmp-catalog.com.ua/katalog/8/18736/","фото")</f>
        <v>фото</v>
      </c>
      <c r="H465" s="22"/>
    </row>
    <row r="466" spans="1:8" ht="15" x14ac:dyDescent="0.2">
      <c r="A466" s="18"/>
      <c r="B466" s="19" t="s">
        <v>981</v>
      </c>
      <c r="C466" s="20" t="s">
        <v>982</v>
      </c>
      <c r="D466" s="2">
        <v>0.9</v>
      </c>
      <c r="E466" s="21"/>
      <c r="F466" s="2">
        <f t="shared" si="10"/>
        <v>0</v>
      </c>
      <c r="G466" s="3" t="str">
        <f>HYPERLINK("http://tmmp-catalog.com.ua/katalog/8/18737/","фото")</f>
        <v>фото</v>
      </c>
      <c r="H466" s="22"/>
    </row>
    <row r="467" spans="1:8" ht="15" x14ac:dyDescent="0.2">
      <c r="A467" s="18"/>
      <c r="B467" s="19" t="s">
        <v>983</v>
      </c>
      <c r="C467" s="20" t="s">
        <v>984</v>
      </c>
      <c r="D467" s="2">
        <v>0.9</v>
      </c>
      <c r="E467" s="21"/>
      <c r="F467" s="2">
        <f t="shared" si="10"/>
        <v>0</v>
      </c>
      <c r="G467" s="3" t="str">
        <f>HYPERLINK("http://tmmp-catalog.com.ua/katalog/37/18684/","фото")</f>
        <v>фото</v>
      </c>
      <c r="H467" s="22"/>
    </row>
    <row r="468" spans="1:8" ht="15" x14ac:dyDescent="0.2">
      <c r="A468" s="18"/>
      <c r="B468" s="19" t="s">
        <v>985</v>
      </c>
      <c r="C468" s="20" t="s">
        <v>986</v>
      </c>
      <c r="D468" s="2">
        <v>0.9</v>
      </c>
      <c r="E468" s="21"/>
      <c r="F468" s="2">
        <f t="shared" si="10"/>
        <v>0</v>
      </c>
      <c r="G468" s="3" t="str">
        <f>HYPERLINK("http://tmmp-catalog.com.ua/katalog/8/18738/","фото")</f>
        <v>фото</v>
      </c>
      <c r="H468" s="22"/>
    </row>
    <row r="469" spans="1:8" ht="15" x14ac:dyDescent="0.2">
      <c r="A469" s="18"/>
      <c r="B469" s="19" t="s">
        <v>987</v>
      </c>
      <c r="C469" s="20" t="s">
        <v>988</v>
      </c>
      <c r="D469" s="2">
        <v>0.9</v>
      </c>
      <c r="E469" s="21"/>
      <c r="F469" s="2">
        <f t="shared" si="10"/>
        <v>0</v>
      </c>
      <c r="G469" s="3" t="str">
        <f>HYPERLINK("http://tmmp-catalog.com.ua/katalog/37/18481/","фото")</f>
        <v>фото</v>
      </c>
      <c r="H469" s="22"/>
    </row>
    <row r="470" spans="1:8" ht="15" x14ac:dyDescent="0.2">
      <c r="A470" s="18"/>
      <c r="B470" s="19" t="s">
        <v>989</v>
      </c>
      <c r="C470" s="20" t="s">
        <v>990</v>
      </c>
      <c r="D470" s="2">
        <v>0.9</v>
      </c>
      <c r="E470" s="21"/>
      <c r="F470" s="2">
        <f t="shared" si="10"/>
        <v>0</v>
      </c>
      <c r="G470" s="3" t="str">
        <f>HYPERLINK("http://tmmp-catalog.com.ua/katalog/8/18741/","фото")</f>
        <v>фото</v>
      </c>
      <c r="H470" s="22"/>
    </row>
    <row r="471" spans="1:8" ht="15" x14ac:dyDescent="0.2">
      <c r="A471" s="18"/>
      <c r="B471" s="19" t="s">
        <v>991</v>
      </c>
      <c r="C471" s="20" t="s">
        <v>992</v>
      </c>
      <c r="D471" s="2">
        <v>0.9</v>
      </c>
      <c r="E471" s="21"/>
      <c r="F471" s="2">
        <f t="shared" si="10"/>
        <v>0</v>
      </c>
      <c r="G471" s="3" t="str">
        <f>HYPERLINK("http://tmmp-catalog.com.ua/katalog/8/18742/","фото")</f>
        <v>фото</v>
      </c>
      <c r="H471" s="22"/>
    </row>
    <row r="472" spans="1:8" ht="15" x14ac:dyDescent="0.2">
      <c r="A472" s="18"/>
      <c r="B472" s="19" t="s">
        <v>993</v>
      </c>
      <c r="C472" s="20" t="s">
        <v>994</v>
      </c>
      <c r="D472" s="2">
        <v>0.9</v>
      </c>
      <c r="E472" s="21"/>
      <c r="F472" s="2">
        <f t="shared" si="10"/>
        <v>0</v>
      </c>
      <c r="G472" s="3" t="str">
        <f>HYPERLINK("http://tmmp-catalog.com.ua/katalog/37/18689/","фото")</f>
        <v>фото</v>
      </c>
      <c r="H472" s="22"/>
    </row>
    <row r="473" spans="1:8" ht="15" x14ac:dyDescent="0.2">
      <c r="A473" s="18"/>
      <c r="B473" s="19" t="s">
        <v>995</v>
      </c>
      <c r="C473" s="20" t="s">
        <v>996</v>
      </c>
      <c r="D473" s="2">
        <v>0.9</v>
      </c>
      <c r="E473" s="21"/>
      <c r="F473" s="2">
        <f t="shared" si="10"/>
        <v>0</v>
      </c>
      <c r="G473" s="3" t="str">
        <f>HYPERLINK("http://tmmp-catalog.com.ua/katalog/8/18733/","фото")</f>
        <v>фото</v>
      </c>
      <c r="H473" s="22"/>
    </row>
    <row r="474" spans="1:8" ht="15" x14ac:dyDescent="0.2">
      <c r="A474" s="18"/>
      <c r="B474" s="19" t="s">
        <v>997</v>
      </c>
      <c r="C474" s="20" t="s">
        <v>998</v>
      </c>
      <c r="D474" s="2">
        <v>0.9</v>
      </c>
      <c r="E474" s="21"/>
      <c r="F474" s="2">
        <f t="shared" si="10"/>
        <v>0</v>
      </c>
      <c r="G474" s="3" t="str">
        <f>HYPERLINK("http://tmmp-catalog.com.ua/katalog/8/18732/","фото")</f>
        <v>фото</v>
      </c>
      <c r="H474" s="22"/>
    </row>
    <row r="475" spans="1:8" ht="15" x14ac:dyDescent="0.2">
      <c r="A475" s="18"/>
      <c r="B475" s="19" t="s">
        <v>999</v>
      </c>
      <c r="C475" s="20" t="s">
        <v>1000</v>
      </c>
      <c r="D475" s="2">
        <v>0.9</v>
      </c>
      <c r="E475" s="21"/>
      <c r="F475" s="2">
        <f t="shared" si="10"/>
        <v>0</v>
      </c>
      <c r="G475" s="3" t="str">
        <f>HYPERLINK("http://tmmp-catalog.com.ua/katalog/8/18731/","фото")</f>
        <v>фото</v>
      </c>
      <c r="H475" s="22"/>
    </row>
    <row r="476" spans="1:8" ht="15" x14ac:dyDescent="0.2">
      <c r="A476" s="18">
        <v>2000000032696</v>
      </c>
      <c r="B476" s="19" t="s">
        <v>1001</v>
      </c>
      <c r="C476" s="20" t="s">
        <v>1002</v>
      </c>
      <c r="D476" s="2">
        <v>0.9</v>
      </c>
      <c r="E476" s="21"/>
      <c r="F476" s="2">
        <f t="shared" si="10"/>
        <v>0</v>
      </c>
      <c r="G476" s="3" t="str">
        <f>HYPERLINK("http://tmmp-catalog.com.ua/katalog/8/13483/","фото")</f>
        <v>фото</v>
      </c>
      <c r="H476" s="22"/>
    </row>
    <row r="477" spans="1:8" ht="15" x14ac:dyDescent="0.2">
      <c r="A477" s="18"/>
      <c r="B477" s="19" t="s">
        <v>1003</v>
      </c>
      <c r="C477" s="20" t="s">
        <v>1004</v>
      </c>
      <c r="D477" s="2">
        <v>0.9</v>
      </c>
      <c r="E477" s="21"/>
      <c r="F477" s="2">
        <f t="shared" si="10"/>
        <v>0</v>
      </c>
      <c r="G477" s="3" t="str">
        <f>HYPERLINK("http://tmmp-catalog.com.ua/katalog/37/18687/","фото")</f>
        <v>фото</v>
      </c>
      <c r="H477" s="22"/>
    </row>
    <row r="478" spans="1:8" ht="15" x14ac:dyDescent="0.2">
      <c r="A478" s="18"/>
      <c r="B478" s="19" t="s">
        <v>1005</v>
      </c>
      <c r="C478" s="20" t="s">
        <v>1006</v>
      </c>
      <c r="D478" s="2">
        <v>0.9</v>
      </c>
      <c r="E478" s="21"/>
      <c r="F478" s="2">
        <f t="shared" si="10"/>
        <v>0</v>
      </c>
      <c r="G478" s="3" t="str">
        <f>HYPERLINK("http://tmmp-catalog.com.ua/katalog/37/18688/","фото")</f>
        <v>фото</v>
      </c>
      <c r="H478" s="22"/>
    </row>
    <row r="479" spans="1:8" ht="15" x14ac:dyDescent="0.2">
      <c r="A479" s="18">
        <v>2000000032672</v>
      </c>
      <c r="B479" s="19" t="s">
        <v>1007</v>
      </c>
      <c r="C479" s="20" t="s">
        <v>1008</v>
      </c>
      <c r="D479" s="2">
        <v>0.9</v>
      </c>
      <c r="E479" s="21"/>
      <c r="F479" s="2">
        <f t="shared" si="10"/>
        <v>0</v>
      </c>
      <c r="G479" s="3" t="str">
        <f>HYPERLINK("http://tmmp-catalog.com.ua/katalog/8/13481/","фото")</f>
        <v>фото</v>
      </c>
      <c r="H479" s="22"/>
    </row>
    <row r="480" spans="1:8" ht="15" x14ac:dyDescent="0.2">
      <c r="A480" s="18"/>
      <c r="B480" s="19" t="s">
        <v>1009</v>
      </c>
      <c r="C480" s="20" t="s">
        <v>1010</v>
      </c>
      <c r="D480" s="2">
        <v>0.9</v>
      </c>
      <c r="E480" s="21"/>
      <c r="F480" s="2">
        <f t="shared" si="10"/>
        <v>0</v>
      </c>
      <c r="G480" s="3" t="str">
        <f>HYPERLINK("http://tmmp-catalog.com.ua/katalog/37/18686/","фото")</f>
        <v>фото</v>
      </c>
      <c r="H480" s="22"/>
    </row>
    <row r="481" spans="1:8" ht="15" x14ac:dyDescent="0.2">
      <c r="A481" s="18"/>
      <c r="B481" s="19" t="s">
        <v>1011</v>
      </c>
      <c r="C481" s="20" t="s">
        <v>1012</v>
      </c>
      <c r="D481" s="2">
        <v>0.9</v>
      </c>
      <c r="E481" s="21"/>
      <c r="F481" s="2">
        <f t="shared" si="10"/>
        <v>0</v>
      </c>
      <c r="G481" s="3" t="str">
        <f>HYPERLINK("http://tmmp-catalog.com.ua/katalog/8/18730/","фото")</f>
        <v>фото</v>
      </c>
      <c r="H481" s="22"/>
    </row>
    <row r="482" spans="1:8" ht="15" x14ac:dyDescent="0.2">
      <c r="A482" s="18"/>
      <c r="B482" s="19" t="s">
        <v>1013</v>
      </c>
      <c r="C482" s="20" t="s">
        <v>1014</v>
      </c>
      <c r="D482" s="2">
        <v>0.9</v>
      </c>
      <c r="E482" s="21"/>
      <c r="F482" s="2">
        <f t="shared" si="10"/>
        <v>0</v>
      </c>
      <c r="G482" s="3" t="str">
        <f>HYPERLINK("http://tmmp-catalog.com.ua/katalog/8/18729/","фото")</f>
        <v>фото</v>
      </c>
      <c r="H482" s="22"/>
    </row>
    <row r="483" spans="1:8" ht="15" x14ac:dyDescent="0.2">
      <c r="A483" s="18"/>
      <c r="B483" s="19" t="s">
        <v>1015</v>
      </c>
      <c r="C483" s="20" t="s">
        <v>1016</v>
      </c>
      <c r="D483" s="2">
        <v>0.9</v>
      </c>
      <c r="E483" s="21"/>
      <c r="F483" s="2">
        <f t="shared" si="10"/>
        <v>0</v>
      </c>
      <c r="G483" s="3" t="str">
        <f>HYPERLINK("http://tmmp-catalog.com.ua/katalog/8/18728/","фото")</f>
        <v>фото</v>
      </c>
      <c r="H483" s="22"/>
    </row>
    <row r="484" spans="1:8" ht="15" x14ac:dyDescent="0.2">
      <c r="A484" s="18"/>
      <c r="B484" s="19" t="s">
        <v>1017</v>
      </c>
      <c r="C484" s="20" t="s">
        <v>1018</v>
      </c>
      <c r="D484" s="2">
        <v>0.9</v>
      </c>
      <c r="E484" s="21"/>
      <c r="F484" s="2">
        <f t="shared" si="10"/>
        <v>0</v>
      </c>
      <c r="G484" s="3" t="str">
        <f>HYPERLINK("http://tmmp-catalog.com.ua/katalog/37/18683/","фото")</f>
        <v>фото</v>
      </c>
      <c r="H484" s="22"/>
    </row>
    <row r="485" spans="1:8" ht="15" x14ac:dyDescent="0.2">
      <c r="A485" s="18"/>
      <c r="B485" s="19" t="s">
        <v>1019</v>
      </c>
      <c r="C485" s="20" t="s">
        <v>1020</v>
      </c>
      <c r="D485" s="2">
        <v>0.9</v>
      </c>
      <c r="E485" s="21"/>
      <c r="F485" s="2">
        <f t="shared" si="10"/>
        <v>0</v>
      </c>
      <c r="G485" s="3" t="str">
        <f>HYPERLINK("http://tmmp-catalog.com.ua/katalog/8/18727/","фото")</f>
        <v>фото</v>
      </c>
      <c r="H485" s="22"/>
    </row>
    <row r="486" spans="1:8" ht="15" x14ac:dyDescent="0.2">
      <c r="A486" s="18">
        <v>2000000032689</v>
      </c>
      <c r="B486" s="19" t="s">
        <v>1021</v>
      </c>
      <c r="C486" s="20" t="s">
        <v>1022</v>
      </c>
      <c r="D486" s="2">
        <v>0.9</v>
      </c>
      <c r="E486" s="21"/>
      <c r="F486" s="2">
        <f t="shared" si="10"/>
        <v>0</v>
      </c>
      <c r="G486" s="3" t="str">
        <f>HYPERLINK("http://tmmp-catalog.com.ua/katalog/8/13482/","фото")</f>
        <v>фото</v>
      </c>
      <c r="H486" s="22"/>
    </row>
    <row r="487" spans="1:8" ht="15" x14ac:dyDescent="0.2">
      <c r="A487" s="18">
        <v>2000000032702</v>
      </c>
      <c r="B487" s="19" t="s">
        <v>1023</v>
      </c>
      <c r="C487" s="20" t="s">
        <v>1024</v>
      </c>
      <c r="D487" s="2">
        <v>0.6</v>
      </c>
      <c r="E487" s="21"/>
      <c r="F487" s="2">
        <f t="shared" si="10"/>
        <v>0</v>
      </c>
      <c r="G487" s="3" t="str">
        <f>HYPERLINK("http://tmmp-catalog.com.ua/katalog/8/13484/","фото")</f>
        <v>фото</v>
      </c>
      <c r="H487" s="22"/>
    </row>
    <row r="488" spans="1:8" ht="15" x14ac:dyDescent="0.2">
      <c r="A488" s="18">
        <v>2000000032719</v>
      </c>
      <c r="B488" s="19" t="s">
        <v>1025</v>
      </c>
      <c r="C488" s="20" t="s">
        <v>1026</v>
      </c>
      <c r="D488" s="2">
        <v>0.9</v>
      </c>
      <c r="E488" s="21"/>
      <c r="F488" s="2">
        <f t="shared" si="10"/>
        <v>0</v>
      </c>
      <c r="G488" s="3" t="str">
        <f>HYPERLINK("http://tmmp-catalog.com.ua/katalog/8/13485/","фото")</f>
        <v>фото</v>
      </c>
      <c r="H488" s="22"/>
    </row>
    <row r="489" spans="1:8" ht="15" x14ac:dyDescent="0.2">
      <c r="A489" s="18">
        <v>2000000032726</v>
      </c>
      <c r="B489" s="19" t="s">
        <v>1027</v>
      </c>
      <c r="C489" s="20" t="s">
        <v>1028</v>
      </c>
      <c r="D489" s="2">
        <v>1.6</v>
      </c>
      <c r="E489" s="21"/>
      <c r="F489" s="2">
        <f t="shared" si="10"/>
        <v>0</v>
      </c>
      <c r="G489" s="3" t="str">
        <f>HYPERLINK("http://tmmp-catalog.com.ua/katalog/8/13486/","фото")</f>
        <v>фото</v>
      </c>
      <c r="H489" s="22"/>
    </row>
    <row r="490" spans="1:8" ht="15" x14ac:dyDescent="0.2">
      <c r="A490" s="18">
        <v>2000000032733</v>
      </c>
      <c r="B490" s="19" t="s">
        <v>1029</v>
      </c>
      <c r="C490" s="20" t="s">
        <v>1030</v>
      </c>
      <c r="D490" s="2">
        <v>1.6</v>
      </c>
      <c r="E490" s="21"/>
      <c r="F490" s="2">
        <f t="shared" si="10"/>
        <v>0</v>
      </c>
      <c r="G490" s="3" t="str">
        <f>HYPERLINK("http://tmmp-catalog.com.ua/katalog/8/13487/","фото")</f>
        <v>фото</v>
      </c>
      <c r="H490" s="22"/>
    </row>
    <row r="491" spans="1:8" ht="15" x14ac:dyDescent="0.2">
      <c r="A491" s="18"/>
      <c r="B491" s="19" t="s">
        <v>1031</v>
      </c>
      <c r="C491" s="20" t="s">
        <v>1032</v>
      </c>
      <c r="D491" s="2">
        <v>2.4</v>
      </c>
      <c r="E491" s="21"/>
      <c r="F491" s="2">
        <f t="shared" si="10"/>
        <v>0</v>
      </c>
      <c r="G491" s="3" t="str">
        <f>HYPERLINK("http://tmmp-catalog.com.ua/katalog/8/18834/","фото")</f>
        <v>фото</v>
      </c>
      <c r="H491" s="22"/>
    </row>
    <row r="492" spans="1:8" ht="15" x14ac:dyDescent="0.2">
      <c r="A492" s="18">
        <v>2000000032740</v>
      </c>
      <c r="B492" s="19" t="s">
        <v>1033</v>
      </c>
      <c r="C492" s="20" t="s">
        <v>1034</v>
      </c>
      <c r="D492" s="2">
        <v>3.8</v>
      </c>
      <c r="E492" s="21"/>
      <c r="F492" s="2">
        <f t="shared" si="10"/>
        <v>0</v>
      </c>
      <c r="G492" s="3" t="str">
        <f>HYPERLINK("http://tmmp-catalog.com.ua/katalog/8/13488/","фото")</f>
        <v>фото</v>
      </c>
      <c r="H492" s="22"/>
    </row>
    <row r="493" spans="1:8" ht="15" x14ac:dyDescent="0.2">
      <c r="A493" s="18">
        <v>2000000035086</v>
      </c>
      <c r="B493" s="19" t="s">
        <v>1035</v>
      </c>
      <c r="C493" s="20" t="s">
        <v>1036</v>
      </c>
      <c r="D493" s="2">
        <v>1.3</v>
      </c>
      <c r="E493" s="21"/>
      <c r="F493" s="2">
        <f t="shared" si="10"/>
        <v>0</v>
      </c>
      <c r="G493" s="3" t="str">
        <f>HYPERLINK("http://tmmp-catalog.com.ua/katalog/9/13127/","фото")</f>
        <v>фото</v>
      </c>
      <c r="H493" s="22"/>
    </row>
    <row r="494" spans="1:8" ht="15" x14ac:dyDescent="0.2">
      <c r="A494" s="18">
        <v>2000000032764</v>
      </c>
      <c r="B494" s="19" t="s">
        <v>1037</v>
      </c>
      <c r="C494" s="20" t="s">
        <v>1038</v>
      </c>
      <c r="D494" s="2">
        <v>1.3</v>
      </c>
      <c r="E494" s="21"/>
      <c r="F494" s="2">
        <f t="shared" si="10"/>
        <v>0</v>
      </c>
      <c r="G494" s="3" t="str">
        <f>HYPERLINK("http://tmmp-catalog.com.ua/katalog/8/13490/","фото")</f>
        <v>фото</v>
      </c>
      <c r="H494" s="22"/>
    </row>
    <row r="495" spans="1:8" ht="15" x14ac:dyDescent="0.2">
      <c r="A495" s="18">
        <v>2000000032788</v>
      </c>
      <c r="B495" s="19" t="s">
        <v>1039</v>
      </c>
      <c r="C495" s="20" t="s">
        <v>1040</v>
      </c>
      <c r="D495" s="2">
        <v>1.3</v>
      </c>
      <c r="E495" s="21"/>
      <c r="F495" s="2">
        <f t="shared" si="10"/>
        <v>0</v>
      </c>
      <c r="G495" s="3" t="str">
        <f>HYPERLINK("http://tmmp-catalog.com.ua/katalog/8/13492/","фото")</f>
        <v>фото</v>
      </c>
      <c r="H495" s="22"/>
    </row>
    <row r="496" spans="1:8" ht="15" x14ac:dyDescent="0.2">
      <c r="A496" s="18"/>
      <c r="B496" s="19" t="s">
        <v>1041</v>
      </c>
      <c r="C496" s="20" t="s">
        <v>1042</v>
      </c>
      <c r="D496" s="2">
        <v>0.4</v>
      </c>
      <c r="E496" s="21"/>
      <c r="F496" s="2">
        <f t="shared" si="10"/>
        <v>0</v>
      </c>
      <c r="G496" s="3" t="str">
        <f>HYPERLINK("http://tmmp-catalog.com.ua/katalog/8/18894/","фото")</f>
        <v>фото</v>
      </c>
      <c r="H496" s="22"/>
    </row>
    <row r="497" spans="1:8" ht="15" x14ac:dyDescent="0.2">
      <c r="A497" s="18">
        <v>2000000032795</v>
      </c>
      <c r="B497" s="19" t="s">
        <v>1043</v>
      </c>
      <c r="C497" s="20" t="s">
        <v>1044</v>
      </c>
      <c r="D497" s="2">
        <v>3</v>
      </c>
      <c r="E497" s="21"/>
      <c r="F497" s="2">
        <f t="shared" si="10"/>
        <v>0</v>
      </c>
      <c r="G497" s="3" t="str">
        <f>HYPERLINK("http://tmmp-catalog.com.ua/katalog/8/13493/","фото")</f>
        <v>фото</v>
      </c>
      <c r="H497" s="22"/>
    </row>
    <row r="498" spans="1:8" ht="15" x14ac:dyDescent="0.2">
      <c r="A498" s="18">
        <v>2000000032801</v>
      </c>
      <c r="B498" s="19" t="s">
        <v>1045</v>
      </c>
      <c r="C498" s="20" t="s">
        <v>1046</v>
      </c>
      <c r="D498" s="2">
        <v>0.45</v>
      </c>
      <c r="E498" s="21"/>
      <c r="F498" s="2">
        <f t="shared" si="10"/>
        <v>0</v>
      </c>
      <c r="G498" s="3" t="str">
        <f>HYPERLINK("http://tmmp-catalog.com.ua/katalog/8/13494/","фото")</f>
        <v>фото</v>
      </c>
      <c r="H498" s="22"/>
    </row>
    <row r="499" spans="1:8" ht="15" x14ac:dyDescent="0.2">
      <c r="A499" s="18">
        <v>2000000032818</v>
      </c>
      <c r="B499" s="19" t="s">
        <v>1047</v>
      </c>
      <c r="C499" s="20" t="s">
        <v>1048</v>
      </c>
      <c r="D499" s="2">
        <v>3.7</v>
      </c>
      <c r="E499" s="21"/>
      <c r="F499" s="2">
        <f t="shared" si="10"/>
        <v>0</v>
      </c>
      <c r="G499" s="3" t="str">
        <f>HYPERLINK("http://tmmp-catalog.com.ua/katalog/8/13495/","фото")</f>
        <v>фото</v>
      </c>
      <c r="H499" s="22"/>
    </row>
    <row r="500" spans="1:8" ht="15" x14ac:dyDescent="0.2">
      <c r="A500" s="18">
        <v>2000000002460</v>
      </c>
      <c r="B500" s="19" t="s">
        <v>1049</v>
      </c>
      <c r="C500" s="20" t="s">
        <v>1050</v>
      </c>
      <c r="D500" s="2">
        <v>9.5</v>
      </c>
      <c r="E500" s="21"/>
      <c r="F500" s="2">
        <f t="shared" si="10"/>
        <v>0</v>
      </c>
      <c r="G500" s="3" t="str">
        <f>HYPERLINK("http://tmmp-catalog.com.ua/katalog/10/14598/","фото")</f>
        <v>фото</v>
      </c>
      <c r="H500" s="22"/>
    </row>
    <row r="501" spans="1:8" ht="15" x14ac:dyDescent="0.2">
      <c r="A501" s="18">
        <v>2000000032832</v>
      </c>
      <c r="B501" s="19" t="s">
        <v>1051</v>
      </c>
      <c r="C501" s="20" t="s">
        <v>1052</v>
      </c>
      <c r="D501" s="2">
        <v>1</v>
      </c>
      <c r="E501" s="21"/>
      <c r="F501" s="2">
        <f t="shared" si="10"/>
        <v>0</v>
      </c>
      <c r="G501" s="3" t="str">
        <f>HYPERLINK("http://tmmp-catalog.com.ua/katalog/8/13497/","фото")</f>
        <v>фото</v>
      </c>
      <c r="H501" s="22"/>
    </row>
    <row r="502" spans="1:8" ht="15" x14ac:dyDescent="0.2">
      <c r="A502" s="18">
        <v>2000000035116</v>
      </c>
      <c r="B502" s="19" t="s">
        <v>1053</v>
      </c>
      <c r="C502" s="20" t="s">
        <v>1054</v>
      </c>
      <c r="D502" s="2">
        <v>0.5</v>
      </c>
      <c r="E502" s="21"/>
      <c r="F502" s="2">
        <f t="shared" si="10"/>
        <v>0</v>
      </c>
      <c r="G502" s="3" t="str">
        <f>HYPERLINK("http://tmmp-catalog.com.ua/katalog/9/13130/","фото")</f>
        <v>фото</v>
      </c>
      <c r="H502" s="22"/>
    </row>
    <row r="503" spans="1:8" ht="15" x14ac:dyDescent="0.2">
      <c r="A503" s="18">
        <v>2000000032863</v>
      </c>
      <c r="B503" s="19" t="s">
        <v>1055</v>
      </c>
      <c r="C503" s="20" t="s">
        <v>1056</v>
      </c>
      <c r="D503" s="2">
        <v>1.1499999999999999</v>
      </c>
      <c r="E503" s="21"/>
      <c r="F503" s="2">
        <f t="shared" si="10"/>
        <v>0</v>
      </c>
      <c r="G503" s="3" t="str">
        <f>HYPERLINK("http://tmmp-catalog.com.ua/katalog/8/13500/","фото")</f>
        <v>фото</v>
      </c>
      <c r="H503" s="22"/>
    </row>
    <row r="504" spans="1:8" ht="15" x14ac:dyDescent="0.2">
      <c r="A504" s="18">
        <v>2000000033891</v>
      </c>
      <c r="B504" s="19" t="s">
        <v>1057</v>
      </c>
      <c r="C504" s="20" t="s">
        <v>1058</v>
      </c>
      <c r="D504" s="2">
        <v>0.4</v>
      </c>
      <c r="E504" s="21"/>
      <c r="F504" s="2">
        <f t="shared" si="10"/>
        <v>0</v>
      </c>
      <c r="G504" s="3" t="str">
        <f>HYPERLINK("http://tmmp-catalog.com.ua/katalog/8/16567/","фото")</f>
        <v>фото</v>
      </c>
      <c r="H504" s="22"/>
    </row>
    <row r="505" spans="1:8" ht="15" x14ac:dyDescent="0.2">
      <c r="A505" s="18">
        <v>2000000032870</v>
      </c>
      <c r="B505" s="19" t="s">
        <v>1059</v>
      </c>
      <c r="C505" s="20" t="s">
        <v>1060</v>
      </c>
      <c r="D505" s="2">
        <v>0.9</v>
      </c>
      <c r="E505" s="21"/>
      <c r="F505" s="2">
        <f t="shared" ref="F505:F568" si="11">cena*zakaz</f>
        <v>0</v>
      </c>
      <c r="G505" s="3" t="str">
        <f>HYPERLINK("http://tmmp-catalog.com.ua/katalog/8/13501/","фото")</f>
        <v>фото</v>
      </c>
      <c r="H505" s="22"/>
    </row>
    <row r="506" spans="1:8" ht="15" x14ac:dyDescent="0.2">
      <c r="A506" s="18">
        <v>2000000034232</v>
      </c>
      <c r="B506" s="19" t="s">
        <v>1061</v>
      </c>
      <c r="C506" s="20" t="s">
        <v>1062</v>
      </c>
      <c r="D506" s="2">
        <v>0.2</v>
      </c>
      <c r="E506" s="21"/>
      <c r="F506" s="2">
        <f t="shared" si="11"/>
        <v>0</v>
      </c>
      <c r="G506" s="3" t="str">
        <f>HYPERLINK("http://tmmp-catalog.com.ua/katalog/8/16944/","фото")</f>
        <v>фото</v>
      </c>
      <c r="H506" s="22"/>
    </row>
    <row r="507" spans="1:8" ht="15" x14ac:dyDescent="0.2">
      <c r="A507" s="18">
        <v>2000000032887</v>
      </c>
      <c r="B507" s="19" t="s">
        <v>1063</v>
      </c>
      <c r="C507" s="20" t="s">
        <v>1064</v>
      </c>
      <c r="D507" s="2">
        <v>0.2</v>
      </c>
      <c r="E507" s="21"/>
      <c r="F507" s="2">
        <f t="shared" si="11"/>
        <v>0</v>
      </c>
      <c r="G507" s="3" t="str">
        <f>HYPERLINK("http://tmmp-catalog.com.ua/katalog/8/13502/","фото")</f>
        <v>фото</v>
      </c>
      <c r="H507" s="22"/>
    </row>
    <row r="508" spans="1:8" ht="15" x14ac:dyDescent="0.2">
      <c r="A508" s="18">
        <v>2000000032894</v>
      </c>
      <c r="B508" s="19" t="s">
        <v>1065</v>
      </c>
      <c r="C508" s="20" t="s">
        <v>1066</v>
      </c>
      <c r="D508" s="2">
        <v>0.15</v>
      </c>
      <c r="E508" s="21"/>
      <c r="F508" s="2">
        <f t="shared" si="11"/>
        <v>0</v>
      </c>
      <c r="G508" s="3" t="str">
        <f>HYPERLINK("http://tmmp-catalog.com.ua/katalog/8/13503/","фото")</f>
        <v>фото</v>
      </c>
      <c r="H508" s="22"/>
    </row>
    <row r="509" spans="1:8" ht="15" x14ac:dyDescent="0.2">
      <c r="A509" s="18">
        <v>2000000031804</v>
      </c>
      <c r="B509" s="19" t="s">
        <v>1067</v>
      </c>
      <c r="C509" s="20" t="s">
        <v>1068</v>
      </c>
      <c r="D509" s="2">
        <v>0.6</v>
      </c>
      <c r="E509" s="21"/>
      <c r="F509" s="2">
        <f t="shared" si="11"/>
        <v>0</v>
      </c>
      <c r="G509" s="3" t="str">
        <f>HYPERLINK("http://tmmp-catalog.com.ua/katalog/8/13386/","фото")</f>
        <v>фото</v>
      </c>
      <c r="H509" s="22"/>
    </row>
    <row r="510" spans="1:8" ht="15" x14ac:dyDescent="0.2">
      <c r="A510" s="18">
        <v>2000000032900</v>
      </c>
      <c r="B510" s="19" t="s">
        <v>1069</v>
      </c>
      <c r="C510" s="20" t="s">
        <v>1070</v>
      </c>
      <c r="D510" s="2">
        <v>0.15</v>
      </c>
      <c r="E510" s="21"/>
      <c r="F510" s="2">
        <f t="shared" si="11"/>
        <v>0</v>
      </c>
      <c r="G510" s="3" t="str">
        <f>HYPERLINK("http://tmmp-catalog.com.ua/katalog/8/13504/","фото")</f>
        <v>фото</v>
      </c>
      <c r="H510" s="22"/>
    </row>
    <row r="511" spans="1:8" ht="15" x14ac:dyDescent="0.2">
      <c r="A511" s="18">
        <v>2000000032917</v>
      </c>
      <c r="B511" s="19" t="s">
        <v>1071</v>
      </c>
      <c r="C511" s="20" t="s">
        <v>1072</v>
      </c>
      <c r="D511" s="2">
        <v>0.3</v>
      </c>
      <c r="E511" s="21"/>
      <c r="F511" s="2">
        <f t="shared" si="11"/>
        <v>0</v>
      </c>
      <c r="G511" s="3" t="str">
        <f>HYPERLINK("http://tmmp-catalog.com.ua/katalog/8/13505/","фото")</f>
        <v>фото</v>
      </c>
      <c r="H511" s="22"/>
    </row>
    <row r="512" spans="1:8" ht="15" x14ac:dyDescent="0.2">
      <c r="A512" s="18">
        <v>2000000032931</v>
      </c>
      <c r="B512" s="19" t="s">
        <v>1073</v>
      </c>
      <c r="C512" s="20" t="s">
        <v>1074</v>
      </c>
      <c r="D512" s="2">
        <v>0.15</v>
      </c>
      <c r="E512" s="21"/>
      <c r="F512" s="2">
        <f t="shared" si="11"/>
        <v>0</v>
      </c>
      <c r="G512" s="3" t="str">
        <f>HYPERLINK("http://tmmp-catalog.com.ua/katalog/8/13510/","фото")</f>
        <v>фото</v>
      </c>
      <c r="H512" s="22"/>
    </row>
    <row r="513" spans="1:8" ht="15" x14ac:dyDescent="0.2">
      <c r="A513" s="18">
        <v>2000000007946</v>
      </c>
      <c r="B513" s="19" t="s">
        <v>1075</v>
      </c>
      <c r="C513" s="20" t="s">
        <v>1076</v>
      </c>
      <c r="D513" s="2">
        <v>1.1000000000000001</v>
      </c>
      <c r="E513" s="21"/>
      <c r="F513" s="2">
        <f t="shared" si="11"/>
        <v>0</v>
      </c>
      <c r="G513" s="3" t="str">
        <f>HYPERLINK("http://tmmp-catalog.com.ua/katalog/13/15982/","фото")</f>
        <v>фото</v>
      </c>
      <c r="H513" s="22"/>
    </row>
    <row r="514" spans="1:8" ht="15" x14ac:dyDescent="0.2">
      <c r="A514" s="18"/>
      <c r="B514" s="19" t="s">
        <v>1077</v>
      </c>
      <c r="C514" s="20" t="s">
        <v>1078</v>
      </c>
      <c r="D514" s="2">
        <v>1.35</v>
      </c>
      <c r="E514" s="21"/>
      <c r="F514" s="2">
        <f t="shared" si="11"/>
        <v>0</v>
      </c>
      <c r="G514" s="3" t="str">
        <f>HYPERLINK("http://tmmp-catalog.com.ua/katalog/8/17594/","фото")</f>
        <v>фото</v>
      </c>
      <c r="H514" s="22"/>
    </row>
    <row r="515" spans="1:8" ht="15" x14ac:dyDescent="0.2">
      <c r="A515" s="18">
        <v>2000000029221</v>
      </c>
      <c r="B515" s="19" t="s">
        <v>1079</v>
      </c>
      <c r="C515" s="20" t="s">
        <v>1080</v>
      </c>
      <c r="D515" s="2">
        <v>13</v>
      </c>
      <c r="E515" s="21"/>
      <c r="F515" s="2">
        <f t="shared" si="11"/>
        <v>0</v>
      </c>
      <c r="G515" s="3" t="str">
        <f>HYPERLINK("http://tmmp-catalog.com.ua/katalog/7/15309/","фото")</f>
        <v>фото</v>
      </c>
      <c r="H515" s="22"/>
    </row>
    <row r="516" spans="1:8" ht="15" x14ac:dyDescent="0.2">
      <c r="A516" s="18"/>
      <c r="B516" s="19" t="s">
        <v>1081</v>
      </c>
      <c r="C516" s="20" t="s">
        <v>1082</v>
      </c>
      <c r="D516" s="2">
        <v>11</v>
      </c>
      <c r="E516" s="21"/>
      <c r="F516" s="2">
        <f t="shared" si="11"/>
        <v>0</v>
      </c>
      <c r="G516" s="3" t="str">
        <f>HYPERLINK("http://tmmp-catalog.com.ua/katalog/37/18643/","фото")</f>
        <v>фото</v>
      </c>
      <c r="H516" s="22"/>
    </row>
    <row r="517" spans="1:8" ht="15" x14ac:dyDescent="0.2">
      <c r="A517" s="18">
        <v>2000000035123</v>
      </c>
      <c r="B517" s="19" t="s">
        <v>1083</v>
      </c>
      <c r="C517" s="20" t="s">
        <v>1084</v>
      </c>
      <c r="D517" s="2">
        <v>4</v>
      </c>
      <c r="E517" s="21"/>
      <c r="F517" s="2">
        <f t="shared" si="11"/>
        <v>0</v>
      </c>
      <c r="G517" s="3" t="str">
        <f>HYPERLINK("http://tmmp-catalog.com.ua/katalog/9/13132/","фото")</f>
        <v>фото</v>
      </c>
      <c r="H517" s="22"/>
    </row>
    <row r="518" spans="1:8" ht="15" x14ac:dyDescent="0.2">
      <c r="A518" s="18">
        <v>2000000035130</v>
      </c>
      <c r="B518" s="19" t="s">
        <v>1085</v>
      </c>
      <c r="C518" s="20" t="s">
        <v>1086</v>
      </c>
      <c r="D518" s="2">
        <v>12</v>
      </c>
      <c r="E518" s="21"/>
      <c r="F518" s="2">
        <f t="shared" si="11"/>
        <v>0</v>
      </c>
      <c r="G518" s="3" t="str">
        <f>HYPERLINK("http://tmmp-catalog.com.ua/katalog/9/13133/","фото")</f>
        <v>фото</v>
      </c>
      <c r="H518" s="22"/>
    </row>
    <row r="519" spans="1:8" ht="15" x14ac:dyDescent="0.2">
      <c r="A519" s="18">
        <v>2000000002477</v>
      </c>
      <c r="B519" s="19" t="s">
        <v>1087</v>
      </c>
      <c r="C519" s="20" t="s">
        <v>1088</v>
      </c>
      <c r="D519" s="2">
        <v>16</v>
      </c>
      <c r="E519" s="21"/>
      <c r="F519" s="2">
        <f t="shared" si="11"/>
        <v>0</v>
      </c>
      <c r="G519" s="3" t="str">
        <f>HYPERLINK("http://tmmp-catalog.com.ua/katalog/10/14599/","фото")</f>
        <v>фото</v>
      </c>
      <c r="H519" s="22"/>
    </row>
    <row r="520" spans="1:8" ht="15" x14ac:dyDescent="0.2">
      <c r="A520" s="18"/>
      <c r="B520" s="19" t="s">
        <v>1089</v>
      </c>
      <c r="C520" s="20" t="s">
        <v>1090</v>
      </c>
      <c r="D520" s="2">
        <v>14</v>
      </c>
      <c r="E520" s="21"/>
      <c r="F520" s="2">
        <f t="shared" si="11"/>
        <v>0</v>
      </c>
      <c r="G520" s="3" t="str">
        <f>HYPERLINK("http://tmmp-catalog.com.ua/katalog/8/18848/","фото")</f>
        <v>фото</v>
      </c>
      <c r="H520" s="22"/>
    </row>
    <row r="521" spans="1:8" ht="15" x14ac:dyDescent="0.2">
      <c r="A521" s="18"/>
      <c r="B521" s="19" t="s">
        <v>1091</v>
      </c>
      <c r="C521" s="20" t="s">
        <v>1092</v>
      </c>
      <c r="D521" s="2">
        <v>7</v>
      </c>
      <c r="E521" s="21"/>
      <c r="F521" s="2">
        <f t="shared" si="11"/>
        <v>0</v>
      </c>
      <c r="G521" s="3" t="str">
        <f>HYPERLINK("http://tmmp-catalog.com.ua/katalog/8/18075/","фото")</f>
        <v>фото</v>
      </c>
      <c r="H521" s="22"/>
    </row>
    <row r="522" spans="1:8" ht="15" x14ac:dyDescent="0.2">
      <c r="A522" s="18">
        <v>2000000032948</v>
      </c>
      <c r="B522" s="19" t="s">
        <v>1093</v>
      </c>
      <c r="C522" s="20" t="s">
        <v>1094</v>
      </c>
      <c r="D522" s="2">
        <v>6</v>
      </c>
      <c r="E522" s="21"/>
      <c r="F522" s="2">
        <f t="shared" si="11"/>
        <v>0</v>
      </c>
      <c r="G522" s="3" t="str">
        <f>HYPERLINK("http://tmmp-catalog.com.ua/katalog/8/13513/","фото")</f>
        <v>фото</v>
      </c>
      <c r="H522" s="22"/>
    </row>
    <row r="523" spans="1:8" ht="15" x14ac:dyDescent="0.2">
      <c r="A523" s="18">
        <v>2000000032962</v>
      </c>
      <c r="B523" s="19" t="s">
        <v>1095</v>
      </c>
      <c r="C523" s="20" t="s">
        <v>1096</v>
      </c>
      <c r="D523" s="2">
        <v>13</v>
      </c>
      <c r="E523" s="21"/>
      <c r="F523" s="2">
        <f t="shared" si="11"/>
        <v>0</v>
      </c>
      <c r="G523" s="3" t="str">
        <f>HYPERLINK("http://tmmp-catalog.com.ua/katalog/8/13515/","фото")</f>
        <v>фото</v>
      </c>
      <c r="H523" s="22"/>
    </row>
    <row r="524" spans="1:8" ht="15" x14ac:dyDescent="0.2">
      <c r="A524" s="18">
        <v>2000000034683</v>
      </c>
      <c r="B524" s="19" t="s">
        <v>1097</v>
      </c>
      <c r="C524" s="20" t="s">
        <v>1098</v>
      </c>
      <c r="D524" s="2">
        <v>4.4000000000000004</v>
      </c>
      <c r="E524" s="21"/>
      <c r="F524" s="2">
        <f t="shared" si="11"/>
        <v>0</v>
      </c>
      <c r="G524" s="3" t="str">
        <f>HYPERLINK("http://tmmp-catalog.com.ua/katalog/8/17000/","фото")</f>
        <v>фото</v>
      </c>
      <c r="H524" s="22"/>
    </row>
    <row r="525" spans="1:8" ht="15" x14ac:dyDescent="0.2">
      <c r="A525" s="18">
        <v>2000000032986</v>
      </c>
      <c r="B525" s="19" t="s">
        <v>1099</v>
      </c>
      <c r="C525" s="20" t="s">
        <v>1100</v>
      </c>
      <c r="D525" s="2">
        <v>4.5</v>
      </c>
      <c r="E525" s="21"/>
      <c r="F525" s="2">
        <f t="shared" si="11"/>
        <v>0</v>
      </c>
      <c r="G525" s="3" t="str">
        <f>HYPERLINK("http://tmmp-catalog.com.ua/katalog/8/13519/","фото")</f>
        <v>фото</v>
      </c>
      <c r="H525" s="22"/>
    </row>
    <row r="526" spans="1:8" ht="15" x14ac:dyDescent="0.2">
      <c r="A526" s="18">
        <v>2000000032993</v>
      </c>
      <c r="B526" s="19" t="s">
        <v>1101</v>
      </c>
      <c r="C526" s="20" t="s">
        <v>1102</v>
      </c>
      <c r="D526" s="2">
        <v>0.04</v>
      </c>
      <c r="E526" s="21"/>
      <c r="F526" s="2">
        <f t="shared" si="11"/>
        <v>0</v>
      </c>
      <c r="G526" s="3" t="str">
        <f>HYPERLINK("http://tmmp-catalog.com.ua/katalog/8/13520/","фото")</f>
        <v>фото</v>
      </c>
      <c r="H526" s="22"/>
    </row>
    <row r="527" spans="1:8" ht="15" x14ac:dyDescent="0.2">
      <c r="A527" s="18">
        <v>2000000033006</v>
      </c>
      <c r="B527" s="19" t="s">
        <v>1103</v>
      </c>
      <c r="C527" s="20" t="s">
        <v>1104</v>
      </c>
      <c r="D527" s="2">
        <v>8.8000000000000007</v>
      </c>
      <c r="E527" s="21"/>
      <c r="F527" s="2">
        <f t="shared" si="11"/>
        <v>0</v>
      </c>
      <c r="G527" s="3" t="str">
        <f>HYPERLINK("http://tmmp-catalog.com.ua/katalog/8/13521/","фото")</f>
        <v>фото</v>
      </c>
      <c r="H527" s="22"/>
    </row>
    <row r="528" spans="1:8" ht="15" x14ac:dyDescent="0.2">
      <c r="A528" s="18">
        <v>2000000033013</v>
      </c>
      <c r="B528" s="19" t="s">
        <v>1105</v>
      </c>
      <c r="C528" s="20" t="s">
        <v>1106</v>
      </c>
      <c r="D528" s="2">
        <v>0.25</v>
      </c>
      <c r="E528" s="21"/>
      <c r="F528" s="2">
        <f t="shared" si="11"/>
        <v>0</v>
      </c>
      <c r="G528" s="3" t="str">
        <f>HYPERLINK("http://tmmp-catalog.com.ua/katalog/8/13522/","фото")</f>
        <v>фото</v>
      </c>
      <c r="H528" s="22"/>
    </row>
    <row r="529" spans="1:8" ht="15" x14ac:dyDescent="0.2">
      <c r="A529" s="18">
        <v>2000000033020</v>
      </c>
      <c r="B529" s="19" t="s">
        <v>1107</v>
      </c>
      <c r="C529" s="20" t="s">
        <v>1108</v>
      </c>
      <c r="D529" s="2">
        <v>0.6</v>
      </c>
      <c r="E529" s="21"/>
      <c r="F529" s="2">
        <f t="shared" si="11"/>
        <v>0</v>
      </c>
      <c r="G529" s="3" t="str">
        <f>HYPERLINK("http://tmmp-catalog.com.ua/katalog/8/13523/","фото")</f>
        <v>фото</v>
      </c>
      <c r="H529" s="22"/>
    </row>
    <row r="530" spans="1:8" ht="15" x14ac:dyDescent="0.2">
      <c r="A530" s="18">
        <v>2000000033037</v>
      </c>
      <c r="B530" s="19" t="s">
        <v>1109</v>
      </c>
      <c r="C530" s="20" t="s">
        <v>1110</v>
      </c>
      <c r="D530" s="2">
        <v>0.15</v>
      </c>
      <c r="E530" s="21"/>
      <c r="F530" s="2">
        <f t="shared" si="11"/>
        <v>0</v>
      </c>
      <c r="G530" s="3" t="str">
        <f>HYPERLINK("http://tmmp-catalog.com.ua/katalog/8/13524/","фото")</f>
        <v>фото</v>
      </c>
      <c r="H530" s="22"/>
    </row>
    <row r="531" spans="1:8" ht="15" x14ac:dyDescent="0.2">
      <c r="A531" s="18">
        <v>2000000033044</v>
      </c>
      <c r="B531" s="19" t="s">
        <v>1111</v>
      </c>
      <c r="C531" s="20" t="s">
        <v>1112</v>
      </c>
      <c r="D531" s="2">
        <v>0.45</v>
      </c>
      <c r="E531" s="21"/>
      <c r="F531" s="2">
        <f t="shared" si="11"/>
        <v>0</v>
      </c>
      <c r="G531" s="3" t="str">
        <f>HYPERLINK("http://tmmp-catalog.com.ua/katalog/8/13525/","фото")</f>
        <v>фото</v>
      </c>
      <c r="H531" s="22"/>
    </row>
    <row r="532" spans="1:8" ht="15" x14ac:dyDescent="0.2">
      <c r="A532" s="18">
        <v>2000000002484</v>
      </c>
      <c r="B532" s="19" t="s">
        <v>1113</v>
      </c>
      <c r="C532" s="20" t="s">
        <v>1114</v>
      </c>
      <c r="D532" s="2">
        <v>5.3</v>
      </c>
      <c r="E532" s="21"/>
      <c r="F532" s="2">
        <f t="shared" si="11"/>
        <v>0</v>
      </c>
      <c r="G532" s="3" t="str">
        <f>HYPERLINK("http://tmmp-catalog.com.ua/katalog/10/14600/","фото")</f>
        <v>фото</v>
      </c>
      <c r="H532" s="22"/>
    </row>
    <row r="533" spans="1:8" ht="15" x14ac:dyDescent="0.2">
      <c r="A533" s="18"/>
      <c r="B533" s="19" t="s">
        <v>1115</v>
      </c>
      <c r="C533" s="20" t="s">
        <v>1116</v>
      </c>
      <c r="D533" s="2">
        <v>2.5</v>
      </c>
      <c r="E533" s="21"/>
      <c r="F533" s="2">
        <f t="shared" si="11"/>
        <v>0</v>
      </c>
      <c r="G533" s="3" t="str">
        <f>HYPERLINK("http://tmmp-catalog.com.ua/katalog/8/17032/","фото")</f>
        <v>фото</v>
      </c>
      <c r="H533" s="22"/>
    </row>
    <row r="534" spans="1:8" ht="15" x14ac:dyDescent="0.2">
      <c r="A534" s="18">
        <v>2000000033075</v>
      </c>
      <c r="B534" s="19" t="s">
        <v>1117</v>
      </c>
      <c r="C534" s="20" t="s">
        <v>1118</v>
      </c>
      <c r="D534" s="2">
        <v>7</v>
      </c>
      <c r="E534" s="21"/>
      <c r="F534" s="2">
        <f t="shared" si="11"/>
        <v>0</v>
      </c>
      <c r="G534" s="3" t="str">
        <f>HYPERLINK("http://tmmp-catalog.com.ua/katalog/8/13528/","фото")</f>
        <v>фото</v>
      </c>
      <c r="H534" s="22"/>
    </row>
    <row r="535" spans="1:8" ht="15" x14ac:dyDescent="0.2">
      <c r="A535" s="18">
        <v>2000000033099</v>
      </c>
      <c r="B535" s="19" t="s">
        <v>1119</v>
      </c>
      <c r="C535" s="20" t="s">
        <v>1120</v>
      </c>
      <c r="D535" s="2">
        <v>5.3</v>
      </c>
      <c r="E535" s="21"/>
      <c r="F535" s="2">
        <f t="shared" si="11"/>
        <v>0</v>
      </c>
      <c r="G535" s="3" t="str">
        <f>HYPERLINK("http://tmmp-catalog.com.ua/katalog/8/13530/","фото")</f>
        <v>фото</v>
      </c>
      <c r="H535" s="22"/>
    </row>
    <row r="536" spans="1:8" ht="15" x14ac:dyDescent="0.2">
      <c r="A536" s="18">
        <v>2000000033112</v>
      </c>
      <c r="B536" s="19" t="s">
        <v>1121</v>
      </c>
      <c r="C536" s="20" t="s">
        <v>1122</v>
      </c>
      <c r="D536" s="2">
        <v>4.7</v>
      </c>
      <c r="E536" s="21"/>
      <c r="F536" s="2">
        <f t="shared" si="11"/>
        <v>0</v>
      </c>
      <c r="G536" s="3" t="str">
        <f>HYPERLINK("http://tmmp-catalog.com.ua/katalog/8/13532/","фото")</f>
        <v>фото</v>
      </c>
      <c r="H536" s="22"/>
    </row>
    <row r="537" spans="1:8" ht="15" x14ac:dyDescent="0.2">
      <c r="A537" s="18">
        <v>2000000033969</v>
      </c>
      <c r="B537" s="19" t="s">
        <v>1123</v>
      </c>
      <c r="C537" s="20" t="s">
        <v>1124</v>
      </c>
      <c r="D537" s="2">
        <v>6</v>
      </c>
      <c r="E537" s="21"/>
      <c r="F537" s="2">
        <f t="shared" si="11"/>
        <v>0</v>
      </c>
      <c r="G537" s="3" t="str">
        <f>HYPERLINK("http://tmmp-catalog.com.ua/katalog/8/16574/","фото")</f>
        <v>фото</v>
      </c>
      <c r="H537" s="22"/>
    </row>
    <row r="538" spans="1:8" ht="15" x14ac:dyDescent="0.2">
      <c r="A538" s="18">
        <v>2000000033136</v>
      </c>
      <c r="B538" s="19" t="s">
        <v>1125</v>
      </c>
      <c r="C538" s="20" t="s">
        <v>1126</v>
      </c>
      <c r="D538" s="2">
        <v>8</v>
      </c>
      <c r="E538" s="21"/>
      <c r="F538" s="2">
        <f t="shared" si="11"/>
        <v>0</v>
      </c>
      <c r="G538" s="3" t="str">
        <f>HYPERLINK("http://tmmp-catalog.com.ua/katalog/8/13534/","фото")</f>
        <v>фото</v>
      </c>
      <c r="H538" s="22"/>
    </row>
    <row r="539" spans="1:8" ht="15" x14ac:dyDescent="0.2">
      <c r="A539" s="18">
        <v>2000000033143</v>
      </c>
      <c r="B539" s="19" t="s">
        <v>1127</v>
      </c>
      <c r="C539" s="20" t="s">
        <v>1128</v>
      </c>
      <c r="D539" s="2">
        <v>8.8000000000000007</v>
      </c>
      <c r="E539" s="21"/>
      <c r="F539" s="2">
        <f t="shared" si="11"/>
        <v>0</v>
      </c>
      <c r="G539" s="3" t="str">
        <f>HYPERLINK("http://tmmp-catalog.com.ua/katalog/8/13535/","фото")</f>
        <v>фото</v>
      </c>
      <c r="H539" s="22"/>
    </row>
    <row r="540" spans="1:8" ht="15" x14ac:dyDescent="0.2">
      <c r="A540" s="18">
        <v>2000000033167</v>
      </c>
      <c r="B540" s="19" t="s">
        <v>1129</v>
      </c>
      <c r="C540" s="20" t="s">
        <v>1130</v>
      </c>
      <c r="D540" s="2">
        <v>10</v>
      </c>
      <c r="E540" s="21"/>
      <c r="F540" s="2">
        <f t="shared" si="11"/>
        <v>0</v>
      </c>
      <c r="G540" s="3" t="str">
        <f>HYPERLINK("http://tmmp-catalog.com.ua/katalog/8/13537/","фото")</f>
        <v>фото</v>
      </c>
      <c r="H540" s="22"/>
    </row>
    <row r="541" spans="1:8" ht="15" x14ac:dyDescent="0.2">
      <c r="A541" s="18">
        <v>2000000033174</v>
      </c>
      <c r="B541" s="19" t="s">
        <v>1131</v>
      </c>
      <c r="C541" s="20" t="s">
        <v>1132</v>
      </c>
      <c r="D541" s="2">
        <v>10</v>
      </c>
      <c r="E541" s="21"/>
      <c r="F541" s="2">
        <f t="shared" si="11"/>
        <v>0</v>
      </c>
      <c r="G541" s="3" t="str">
        <f>HYPERLINK("http://tmmp-catalog.com.ua/katalog/8/13538/","фото")</f>
        <v>фото</v>
      </c>
      <c r="H541" s="22"/>
    </row>
    <row r="542" spans="1:8" ht="15" x14ac:dyDescent="0.2">
      <c r="A542" s="18">
        <v>2000000033198</v>
      </c>
      <c r="B542" s="19" t="s">
        <v>1133</v>
      </c>
      <c r="C542" s="20" t="s">
        <v>1134</v>
      </c>
      <c r="D542" s="2">
        <v>3.25</v>
      </c>
      <c r="E542" s="21"/>
      <c r="F542" s="2">
        <f t="shared" si="11"/>
        <v>0</v>
      </c>
      <c r="G542" s="3" t="str">
        <f>HYPERLINK("http://tmmp-catalog.com.ua/katalog/8/13540/","фото")</f>
        <v>фото</v>
      </c>
      <c r="H542" s="22"/>
    </row>
    <row r="543" spans="1:8" ht="15" x14ac:dyDescent="0.2">
      <c r="A543" s="18"/>
      <c r="B543" s="19" t="s">
        <v>1135</v>
      </c>
      <c r="C543" s="20" t="s">
        <v>1136</v>
      </c>
      <c r="D543" s="2">
        <v>4.5</v>
      </c>
      <c r="E543" s="21"/>
      <c r="F543" s="2">
        <f t="shared" si="11"/>
        <v>0</v>
      </c>
      <c r="G543" s="3" t="str">
        <f>HYPERLINK("http://tmmp-catalog.com.ua/katalog/37/18671/","фото")</f>
        <v>фото</v>
      </c>
      <c r="H543" s="22"/>
    </row>
    <row r="544" spans="1:8" ht="15" x14ac:dyDescent="0.2">
      <c r="A544" s="18">
        <v>2000000002538</v>
      </c>
      <c r="B544" s="19" t="s">
        <v>1137</v>
      </c>
      <c r="C544" s="20" t="s">
        <v>1138</v>
      </c>
      <c r="D544" s="2">
        <v>7</v>
      </c>
      <c r="E544" s="21"/>
      <c r="F544" s="2">
        <f t="shared" si="11"/>
        <v>0</v>
      </c>
      <c r="G544" s="3" t="str">
        <f>HYPERLINK("http://tmmp-catalog.com.ua/katalog/10/14605/","фото")</f>
        <v>фото</v>
      </c>
      <c r="H544" s="22"/>
    </row>
    <row r="545" spans="1:8" ht="15" x14ac:dyDescent="0.2">
      <c r="A545" s="18">
        <v>2000000033228</v>
      </c>
      <c r="B545" s="19" t="s">
        <v>1139</v>
      </c>
      <c r="C545" s="20" t="s">
        <v>1140</v>
      </c>
      <c r="D545" s="2">
        <v>9.4</v>
      </c>
      <c r="E545" s="21"/>
      <c r="F545" s="2">
        <f t="shared" si="11"/>
        <v>0</v>
      </c>
      <c r="G545" s="3" t="str">
        <f>HYPERLINK("http://tmmp-catalog.com.ua/katalog/8/13543/","фото")</f>
        <v>фото</v>
      </c>
      <c r="H545" s="22"/>
    </row>
    <row r="546" spans="1:8" ht="15" x14ac:dyDescent="0.2">
      <c r="A546" s="18">
        <v>2000000033235</v>
      </c>
      <c r="B546" s="19" t="s">
        <v>1141</v>
      </c>
      <c r="C546" s="20" t="s">
        <v>1142</v>
      </c>
      <c r="D546" s="2">
        <v>3.7</v>
      </c>
      <c r="E546" s="21"/>
      <c r="F546" s="2">
        <f t="shared" si="11"/>
        <v>0</v>
      </c>
      <c r="G546" s="3" t="str">
        <f>HYPERLINK("http://tmmp-catalog.com.ua/katalog/8/13544/","фото")</f>
        <v>фото</v>
      </c>
      <c r="H546" s="22"/>
    </row>
    <row r="547" spans="1:8" ht="15" x14ac:dyDescent="0.2">
      <c r="A547" s="18">
        <v>2000000035154</v>
      </c>
      <c r="B547" s="19" t="s">
        <v>1143</v>
      </c>
      <c r="C547" s="20" t="s">
        <v>1144</v>
      </c>
      <c r="D547" s="2">
        <v>0.55000000000000004</v>
      </c>
      <c r="E547" s="21"/>
      <c r="F547" s="2">
        <f t="shared" si="11"/>
        <v>0</v>
      </c>
      <c r="G547" s="3" t="str">
        <f>HYPERLINK("http://tmmp-catalog.com.ua/katalog/9/13135/","фото")</f>
        <v>фото</v>
      </c>
      <c r="H547" s="22"/>
    </row>
    <row r="548" spans="1:8" ht="15" x14ac:dyDescent="0.2">
      <c r="A548" s="18"/>
      <c r="B548" s="19" t="s">
        <v>1145</v>
      </c>
      <c r="C548" s="20" t="s">
        <v>1146</v>
      </c>
      <c r="D548" s="2">
        <v>0.55000000000000004</v>
      </c>
      <c r="E548" s="21"/>
      <c r="F548" s="2">
        <f t="shared" si="11"/>
        <v>0</v>
      </c>
      <c r="G548" s="3" t="str">
        <f>HYPERLINK("http://tmmp-catalog.com.ua/katalog/10/18715/","фото")</f>
        <v>фото</v>
      </c>
      <c r="H548" s="22"/>
    </row>
    <row r="549" spans="1:8" ht="15" x14ac:dyDescent="0.2">
      <c r="A549" s="18">
        <v>2000000002552</v>
      </c>
      <c r="B549" s="19" t="s">
        <v>1147</v>
      </c>
      <c r="C549" s="20" t="s">
        <v>1148</v>
      </c>
      <c r="D549" s="2">
        <v>0.6</v>
      </c>
      <c r="E549" s="21"/>
      <c r="F549" s="2">
        <f t="shared" si="11"/>
        <v>0</v>
      </c>
      <c r="G549" s="3" t="str">
        <f>HYPERLINK("http://tmmp-catalog.com.ua/katalog/10/14607/","фото")</f>
        <v>фото</v>
      </c>
      <c r="H549" s="22"/>
    </row>
    <row r="550" spans="1:8" ht="15" x14ac:dyDescent="0.2">
      <c r="A550" s="18">
        <v>2000000033259</v>
      </c>
      <c r="B550" s="19" t="s">
        <v>1149</v>
      </c>
      <c r="C550" s="20" t="s">
        <v>1150</v>
      </c>
      <c r="D550" s="2">
        <v>0.75</v>
      </c>
      <c r="E550" s="21"/>
      <c r="F550" s="2">
        <f t="shared" si="11"/>
        <v>0</v>
      </c>
      <c r="G550" s="3" t="str">
        <f>HYPERLINK("http://tmmp-catalog.com.ua/katalog/8/13546/","фото")</f>
        <v>фото</v>
      </c>
      <c r="H550" s="22"/>
    </row>
    <row r="551" spans="1:8" ht="15" x14ac:dyDescent="0.2">
      <c r="A551" s="18"/>
      <c r="B551" s="19" t="s">
        <v>1151</v>
      </c>
      <c r="C551" s="20" t="s">
        <v>1152</v>
      </c>
      <c r="D551" s="2">
        <v>0.9</v>
      </c>
      <c r="E551" s="21"/>
      <c r="F551" s="2">
        <f t="shared" si="11"/>
        <v>0</v>
      </c>
      <c r="G551" s="3" t="str">
        <f>HYPERLINK("http://tmmp-catalog.com.ua/katalog/37/18518/","фото")</f>
        <v>фото</v>
      </c>
      <c r="H551" s="22"/>
    </row>
    <row r="552" spans="1:8" ht="15" x14ac:dyDescent="0.2">
      <c r="A552" s="18"/>
      <c r="B552" s="19" t="s">
        <v>1153</v>
      </c>
      <c r="C552" s="20" t="s">
        <v>1154</v>
      </c>
      <c r="D552" s="2">
        <v>0.75</v>
      </c>
      <c r="E552" s="21"/>
      <c r="F552" s="2">
        <f t="shared" si="11"/>
        <v>0</v>
      </c>
      <c r="G552" s="3" t="str">
        <f>HYPERLINK("http://tmmp-catalog.com.ua/katalog/10/18722/","фото")</f>
        <v>фото</v>
      </c>
      <c r="H552" s="22"/>
    </row>
    <row r="553" spans="1:8" ht="15" x14ac:dyDescent="0.2">
      <c r="A553" s="18">
        <v>2000000035178</v>
      </c>
      <c r="B553" s="19" t="s">
        <v>1155</v>
      </c>
      <c r="C553" s="20" t="s">
        <v>1156</v>
      </c>
      <c r="D553" s="2">
        <v>0.75</v>
      </c>
      <c r="E553" s="21"/>
      <c r="F553" s="2">
        <f t="shared" si="11"/>
        <v>0</v>
      </c>
      <c r="G553" s="3" t="str">
        <f>HYPERLINK("http://tmmp-catalog.com.ua/katalog/9/13137/","фото")</f>
        <v>фото</v>
      </c>
      <c r="H553" s="22"/>
    </row>
    <row r="554" spans="1:8" ht="15" x14ac:dyDescent="0.2">
      <c r="A554" s="18">
        <v>2000000033273</v>
      </c>
      <c r="B554" s="19" t="s">
        <v>1157</v>
      </c>
      <c r="C554" s="20" t="s">
        <v>1158</v>
      </c>
      <c r="D554" s="2">
        <v>0.7</v>
      </c>
      <c r="E554" s="21"/>
      <c r="F554" s="2">
        <f t="shared" si="11"/>
        <v>0</v>
      </c>
      <c r="G554" s="3" t="str">
        <f>HYPERLINK("http://tmmp-catalog.com.ua/katalog/8/13548/","фото")</f>
        <v>фото</v>
      </c>
      <c r="H554" s="22"/>
    </row>
    <row r="555" spans="1:8" ht="15" x14ac:dyDescent="0.2">
      <c r="A555" s="18">
        <v>2000000033280</v>
      </c>
      <c r="B555" s="19" t="s">
        <v>1159</v>
      </c>
      <c r="C555" s="20" t="s">
        <v>1160</v>
      </c>
      <c r="D555" s="2">
        <v>0.4</v>
      </c>
      <c r="E555" s="21"/>
      <c r="F555" s="2">
        <f t="shared" si="11"/>
        <v>0</v>
      </c>
      <c r="G555" s="3" t="str">
        <f>HYPERLINK("http://tmmp-catalog.com.ua/katalog/8/13549/","фото")</f>
        <v>фото</v>
      </c>
      <c r="H555" s="22"/>
    </row>
    <row r="556" spans="1:8" ht="15" x14ac:dyDescent="0.2">
      <c r="A556" s="18"/>
      <c r="B556" s="19" t="s">
        <v>1161</v>
      </c>
      <c r="C556" s="20" t="s">
        <v>1162</v>
      </c>
      <c r="D556" s="2">
        <v>0.05</v>
      </c>
      <c r="E556" s="21"/>
      <c r="F556" s="2">
        <f t="shared" si="11"/>
        <v>0</v>
      </c>
      <c r="G556" s="3" t="str">
        <f>HYPERLINK("http://tmmp-catalog.com.ua/katalog/8/13476/","фото")</f>
        <v>фото</v>
      </c>
      <c r="H556" s="22"/>
    </row>
    <row r="557" spans="1:8" ht="15" x14ac:dyDescent="0.2">
      <c r="A557" s="18">
        <v>2000000033297</v>
      </c>
      <c r="B557" s="19" t="s">
        <v>1163</v>
      </c>
      <c r="C557" s="20" t="s">
        <v>1164</v>
      </c>
      <c r="D557" s="2">
        <v>0.4</v>
      </c>
      <c r="E557" s="21"/>
      <c r="F557" s="2">
        <f t="shared" si="11"/>
        <v>0</v>
      </c>
      <c r="G557" s="3" t="str">
        <f>HYPERLINK("http://tmmp-catalog.com.ua/katalog/8/13550/","фото")</f>
        <v>фото</v>
      </c>
      <c r="H557" s="22"/>
    </row>
    <row r="558" spans="1:8" ht="15" x14ac:dyDescent="0.2">
      <c r="A558" s="18">
        <v>2000000002590</v>
      </c>
      <c r="B558" s="19" t="s">
        <v>1165</v>
      </c>
      <c r="C558" s="20" t="s">
        <v>1166</v>
      </c>
      <c r="D558" s="2">
        <v>6</v>
      </c>
      <c r="E558" s="21"/>
      <c r="F558" s="2">
        <f t="shared" si="11"/>
        <v>0</v>
      </c>
      <c r="G558" s="3" t="str">
        <f>HYPERLINK("http://tmmp-catalog.com.ua/katalog/10/14611/","фото")</f>
        <v>фото</v>
      </c>
      <c r="H558" s="22"/>
    </row>
    <row r="559" spans="1:8" ht="15" x14ac:dyDescent="0.2">
      <c r="A559" s="18">
        <v>2000000003146</v>
      </c>
      <c r="B559" s="19" t="s">
        <v>1167</v>
      </c>
      <c r="C559" s="20" t="s">
        <v>1168</v>
      </c>
      <c r="D559" s="2">
        <v>5.5</v>
      </c>
      <c r="E559" s="21"/>
      <c r="F559" s="2">
        <f t="shared" si="11"/>
        <v>0</v>
      </c>
      <c r="G559" s="3" t="str">
        <f>HYPERLINK("http://tmmp-catalog.com.ua/katalog/10/17009/","фото")</f>
        <v>фото</v>
      </c>
      <c r="H559" s="22"/>
    </row>
    <row r="560" spans="1:8" ht="15" x14ac:dyDescent="0.2">
      <c r="A560" s="18">
        <v>2000000033303</v>
      </c>
      <c r="B560" s="19" t="s">
        <v>1169</v>
      </c>
      <c r="C560" s="20" t="s">
        <v>1170</v>
      </c>
      <c r="D560" s="2">
        <v>6.5</v>
      </c>
      <c r="E560" s="21"/>
      <c r="F560" s="2">
        <f t="shared" si="11"/>
        <v>0</v>
      </c>
      <c r="G560" s="3" t="str">
        <f>HYPERLINK("http://tmmp-catalog.com.ua/katalog/8/13551/","фото")</f>
        <v>фото</v>
      </c>
      <c r="H560" s="22"/>
    </row>
    <row r="561" spans="1:8" ht="15" x14ac:dyDescent="0.2">
      <c r="A561" s="18"/>
      <c r="B561" s="19" t="s">
        <v>1171</v>
      </c>
      <c r="C561" s="20" t="s">
        <v>1172</v>
      </c>
      <c r="D561" s="2">
        <v>3.5</v>
      </c>
      <c r="E561" s="21"/>
      <c r="F561" s="2">
        <f t="shared" si="11"/>
        <v>0</v>
      </c>
      <c r="G561" s="3" t="str">
        <f>HYPERLINK("http://tmmp-catalog.com.ua/katalog/8/18102/","фото")</f>
        <v>фото</v>
      </c>
      <c r="H561" s="22"/>
    </row>
    <row r="562" spans="1:8" ht="15" x14ac:dyDescent="0.2">
      <c r="A562" s="18">
        <v>2000000033341</v>
      </c>
      <c r="B562" s="19" t="s">
        <v>1173</v>
      </c>
      <c r="C562" s="20" t="s">
        <v>1174</v>
      </c>
      <c r="D562" s="2">
        <v>4.3</v>
      </c>
      <c r="E562" s="21"/>
      <c r="F562" s="2">
        <f t="shared" si="11"/>
        <v>0</v>
      </c>
      <c r="G562" s="3" t="str">
        <f>HYPERLINK("http://tmmp-catalog.com.ua/katalog/8/13555/","фото")</f>
        <v>фото</v>
      </c>
      <c r="H562" s="22"/>
    </row>
    <row r="563" spans="1:8" ht="15" x14ac:dyDescent="0.2">
      <c r="A563" s="18">
        <v>2000000002606</v>
      </c>
      <c r="B563" s="19" t="s">
        <v>1175</v>
      </c>
      <c r="C563" s="20" t="s">
        <v>1176</v>
      </c>
      <c r="D563" s="2">
        <v>3.1</v>
      </c>
      <c r="E563" s="21"/>
      <c r="F563" s="2">
        <f t="shared" si="11"/>
        <v>0</v>
      </c>
      <c r="G563" s="3" t="str">
        <f>HYPERLINK("http://tmmp-catalog.com.ua/katalog/10/14612/","фото")</f>
        <v>фото</v>
      </c>
      <c r="H563" s="22"/>
    </row>
    <row r="564" spans="1:8" ht="15" x14ac:dyDescent="0.2">
      <c r="A564" s="18"/>
      <c r="B564" s="19" t="s">
        <v>1177</v>
      </c>
      <c r="C564" s="20" t="s">
        <v>1178</v>
      </c>
      <c r="D564" s="2">
        <v>0.55000000000000004</v>
      </c>
      <c r="E564" s="21"/>
      <c r="F564" s="2">
        <f t="shared" si="11"/>
        <v>0</v>
      </c>
      <c r="G564" s="3" t="str">
        <f>HYPERLINK("http://tmmp-catalog.com.ua/katalog/37/18895/","фото")</f>
        <v>фото</v>
      </c>
      <c r="H564" s="22"/>
    </row>
    <row r="565" spans="1:8" ht="15" x14ac:dyDescent="0.2">
      <c r="A565" s="18">
        <v>2000000021560</v>
      </c>
      <c r="B565" s="19" t="s">
        <v>1179</v>
      </c>
      <c r="C565" s="20" t="s">
        <v>1180</v>
      </c>
      <c r="D565" s="2">
        <v>0.3</v>
      </c>
      <c r="E565" s="21"/>
      <c r="F565" s="2">
        <f t="shared" si="11"/>
        <v>0</v>
      </c>
      <c r="G565" s="3" t="str">
        <f>HYPERLINK("http://tmmp-catalog.com.ua/katalog/26/14538/","фото")</f>
        <v>фото</v>
      </c>
      <c r="H565" s="22"/>
    </row>
    <row r="566" spans="1:8" ht="15" x14ac:dyDescent="0.2">
      <c r="A566" s="18">
        <v>2000000033471</v>
      </c>
      <c r="B566" s="19" t="s">
        <v>1181</v>
      </c>
      <c r="C566" s="20" t="s">
        <v>1182</v>
      </c>
      <c r="D566" s="2">
        <v>1.3</v>
      </c>
      <c r="E566" s="21"/>
      <c r="F566" s="2">
        <f t="shared" si="11"/>
        <v>0</v>
      </c>
      <c r="G566" s="3" t="str">
        <f>HYPERLINK("http://tmmp-catalog.com.ua/katalog/8/13570/","фото")</f>
        <v>фото</v>
      </c>
      <c r="H566" s="22"/>
    </row>
    <row r="567" spans="1:8" ht="15" x14ac:dyDescent="0.2">
      <c r="A567" s="18">
        <v>2000000034287</v>
      </c>
      <c r="B567" s="19" t="s">
        <v>1183</v>
      </c>
      <c r="C567" s="20" t="s">
        <v>1184</v>
      </c>
      <c r="D567" s="2">
        <v>0.8</v>
      </c>
      <c r="E567" s="21"/>
      <c r="F567" s="2">
        <f t="shared" si="11"/>
        <v>0</v>
      </c>
      <c r="G567" s="3" t="str">
        <f>HYPERLINK("http://tmmp-catalog.com.ua/katalog/8/16949/","фото")</f>
        <v>фото</v>
      </c>
      <c r="H567" s="22"/>
    </row>
    <row r="568" spans="1:8" ht="15" x14ac:dyDescent="0.2">
      <c r="A568" s="18">
        <v>2000000033488</v>
      </c>
      <c r="B568" s="19" t="s">
        <v>1185</v>
      </c>
      <c r="C568" s="20" t="s">
        <v>1186</v>
      </c>
      <c r="D568" s="2">
        <v>1.3</v>
      </c>
      <c r="E568" s="21"/>
      <c r="F568" s="2">
        <f t="shared" si="11"/>
        <v>0</v>
      </c>
      <c r="G568" s="3" t="str">
        <f>HYPERLINK("http://tmmp-catalog.com.ua/katalog/8/13571/","фото")</f>
        <v>фото</v>
      </c>
      <c r="H568" s="22"/>
    </row>
    <row r="569" spans="1:8" ht="15" x14ac:dyDescent="0.2">
      <c r="A569" s="18"/>
      <c r="B569" s="19" t="s">
        <v>1187</v>
      </c>
      <c r="C569" s="20" t="s">
        <v>1188</v>
      </c>
      <c r="D569" s="2">
        <v>0.8</v>
      </c>
      <c r="E569" s="21"/>
      <c r="F569" s="2">
        <f t="shared" ref="F569:F594" si="12">cena*zakaz</f>
        <v>0</v>
      </c>
      <c r="G569" s="3" t="str">
        <f>HYPERLINK("http://tmmp-catalog.com.ua/katalog/37/18563/","фото")</f>
        <v>фото</v>
      </c>
      <c r="H569" s="22"/>
    </row>
    <row r="570" spans="1:8" ht="15" x14ac:dyDescent="0.2">
      <c r="A570" s="18">
        <v>2000000034393</v>
      </c>
      <c r="B570" s="19" t="s">
        <v>1189</v>
      </c>
      <c r="C570" s="20" t="s">
        <v>1190</v>
      </c>
      <c r="D570" s="2">
        <v>0.8</v>
      </c>
      <c r="E570" s="21"/>
      <c r="F570" s="2">
        <f t="shared" si="12"/>
        <v>0</v>
      </c>
      <c r="G570" s="3" t="str">
        <f>HYPERLINK("http://tmmp-catalog.com.ua/katalog/8/16961/","фото")</f>
        <v>фото</v>
      </c>
      <c r="H570" s="22"/>
    </row>
    <row r="571" spans="1:8" ht="15" x14ac:dyDescent="0.2">
      <c r="A571" s="18">
        <v>2000000033501</v>
      </c>
      <c r="B571" s="19" t="s">
        <v>1191</v>
      </c>
      <c r="C571" s="20" t="s">
        <v>1192</v>
      </c>
      <c r="D571" s="2">
        <v>0.7</v>
      </c>
      <c r="E571" s="21"/>
      <c r="F571" s="2">
        <f t="shared" si="12"/>
        <v>0</v>
      </c>
      <c r="G571" s="3" t="str">
        <f>HYPERLINK("http://tmmp-catalog.com.ua/katalog/8/13573/","фото")</f>
        <v>фото</v>
      </c>
      <c r="H571" s="22"/>
    </row>
    <row r="572" spans="1:8" ht="15" x14ac:dyDescent="0.2">
      <c r="A572" s="18"/>
      <c r="B572" s="19" t="s">
        <v>1193</v>
      </c>
      <c r="C572" s="20" t="s">
        <v>1194</v>
      </c>
      <c r="D572" s="2">
        <v>12.5</v>
      </c>
      <c r="E572" s="21"/>
      <c r="F572" s="2">
        <f t="shared" si="12"/>
        <v>0</v>
      </c>
      <c r="G572" s="3" t="str">
        <f>HYPERLINK("http://tmmp-catalog.com.ua/katalog/37/18677/","фото")</f>
        <v>фото</v>
      </c>
      <c r="H572" s="22"/>
    </row>
    <row r="573" spans="1:8" ht="15" x14ac:dyDescent="0.2">
      <c r="A573" s="18">
        <v>2000000033549</v>
      </c>
      <c r="B573" s="19" t="s">
        <v>1195</v>
      </c>
      <c r="C573" s="20" t="s">
        <v>1196</v>
      </c>
      <c r="D573" s="2">
        <v>12.8</v>
      </c>
      <c r="E573" s="21"/>
      <c r="F573" s="2">
        <f t="shared" si="12"/>
        <v>0</v>
      </c>
      <c r="G573" s="3" t="str">
        <f>HYPERLINK("http://tmmp-catalog.com.ua/katalog/8/13577/","фото")</f>
        <v>фото</v>
      </c>
      <c r="H573" s="22"/>
    </row>
    <row r="574" spans="1:8" ht="15" x14ac:dyDescent="0.2">
      <c r="A574" s="18">
        <v>2000000033846</v>
      </c>
      <c r="B574" s="19" t="s">
        <v>1197</v>
      </c>
      <c r="C574" s="20" t="s">
        <v>1198</v>
      </c>
      <c r="D574" s="2">
        <v>11</v>
      </c>
      <c r="E574" s="21"/>
      <c r="F574" s="2">
        <f t="shared" si="12"/>
        <v>0</v>
      </c>
      <c r="G574" s="3" t="str">
        <f>HYPERLINK("http://tmmp-catalog.com.ua/katalog/8/16561/","фото")</f>
        <v>фото</v>
      </c>
      <c r="H574" s="22"/>
    </row>
    <row r="575" spans="1:8" ht="15" x14ac:dyDescent="0.2">
      <c r="A575" s="18">
        <v>2000000033525</v>
      </c>
      <c r="B575" s="19" t="s">
        <v>1199</v>
      </c>
      <c r="C575" s="20" t="s">
        <v>1200</v>
      </c>
      <c r="D575" s="2">
        <v>12.8</v>
      </c>
      <c r="E575" s="21"/>
      <c r="F575" s="2">
        <f t="shared" si="12"/>
        <v>0</v>
      </c>
      <c r="G575" s="3" t="str">
        <f>HYPERLINK("http://tmmp-catalog.com.ua/katalog/8/13575/","фото")</f>
        <v>фото</v>
      </c>
      <c r="H575" s="22"/>
    </row>
    <row r="576" spans="1:8" ht="15" x14ac:dyDescent="0.2">
      <c r="A576" s="18">
        <v>2000000033556</v>
      </c>
      <c r="B576" s="19" t="s">
        <v>1201</v>
      </c>
      <c r="C576" s="20" t="s">
        <v>1202</v>
      </c>
      <c r="D576" s="2">
        <v>8</v>
      </c>
      <c r="E576" s="21"/>
      <c r="F576" s="2">
        <f t="shared" si="12"/>
        <v>0</v>
      </c>
      <c r="G576" s="3" t="str">
        <f>HYPERLINK("http://tmmp-catalog.com.ua/katalog/8/13578/","фото")</f>
        <v>фото</v>
      </c>
      <c r="H576" s="22"/>
    </row>
    <row r="577" spans="1:8" ht="15" x14ac:dyDescent="0.2">
      <c r="A577" s="18">
        <v>2000000033570</v>
      </c>
      <c r="B577" s="19" t="s">
        <v>1203</v>
      </c>
      <c r="C577" s="20" t="s">
        <v>1204</v>
      </c>
      <c r="D577" s="2">
        <v>14.5</v>
      </c>
      <c r="E577" s="21"/>
      <c r="F577" s="2">
        <f t="shared" si="12"/>
        <v>0</v>
      </c>
      <c r="G577" s="3" t="str">
        <f>HYPERLINK("http://tmmp-catalog.com.ua/katalog/8/13580/","фото")</f>
        <v>фото</v>
      </c>
      <c r="H577" s="22"/>
    </row>
    <row r="578" spans="1:8" ht="15" x14ac:dyDescent="0.2">
      <c r="A578" s="18">
        <v>2000000033594</v>
      </c>
      <c r="B578" s="19" t="s">
        <v>1205</v>
      </c>
      <c r="C578" s="20" t="s">
        <v>1206</v>
      </c>
      <c r="D578" s="2">
        <v>14.5</v>
      </c>
      <c r="E578" s="21"/>
      <c r="F578" s="2">
        <f t="shared" si="12"/>
        <v>0</v>
      </c>
      <c r="G578" s="3" t="str">
        <f>HYPERLINK("http://tmmp-catalog.com.ua/katalog/8/13582/","фото")</f>
        <v>фото</v>
      </c>
      <c r="H578" s="22"/>
    </row>
    <row r="579" spans="1:8" ht="15" x14ac:dyDescent="0.2">
      <c r="A579" s="18">
        <v>2000000033600</v>
      </c>
      <c r="B579" s="19" t="s">
        <v>1207</v>
      </c>
      <c r="C579" s="20" t="s">
        <v>1208</v>
      </c>
      <c r="D579" s="2">
        <v>15.5</v>
      </c>
      <c r="E579" s="21"/>
      <c r="F579" s="2">
        <f t="shared" si="12"/>
        <v>0</v>
      </c>
      <c r="G579" s="3" t="str">
        <f>HYPERLINK("http://tmmp-catalog.com.ua/katalog/8/13583/","фото")</f>
        <v>фото</v>
      </c>
      <c r="H579" s="22"/>
    </row>
    <row r="580" spans="1:8" ht="15" x14ac:dyDescent="0.2">
      <c r="A580" s="18">
        <v>2000000034089</v>
      </c>
      <c r="B580" s="19" t="s">
        <v>1209</v>
      </c>
      <c r="C580" s="20" t="s">
        <v>1210</v>
      </c>
      <c r="D580" s="2">
        <v>4</v>
      </c>
      <c r="E580" s="21"/>
      <c r="F580" s="2">
        <f t="shared" si="12"/>
        <v>0</v>
      </c>
      <c r="G580" s="3" t="str">
        <f>HYPERLINK("http://tmmp-catalog.com.ua/katalog/8/16588/","фото")</f>
        <v>фото</v>
      </c>
      <c r="H580" s="22"/>
    </row>
    <row r="581" spans="1:8" ht="15" x14ac:dyDescent="0.2">
      <c r="A581" s="18">
        <v>2000000002637</v>
      </c>
      <c r="B581" s="19" t="s">
        <v>1211</v>
      </c>
      <c r="C581" s="20" t="s">
        <v>1212</v>
      </c>
      <c r="D581" s="2">
        <v>2.5</v>
      </c>
      <c r="E581" s="21"/>
      <c r="F581" s="2">
        <f t="shared" si="12"/>
        <v>0</v>
      </c>
      <c r="G581" s="3" t="str">
        <f>HYPERLINK("http://tmmp-catalog.com.ua/katalog/10/14615/","фото")</f>
        <v>фото</v>
      </c>
      <c r="H581" s="22"/>
    </row>
    <row r="582" spans="1:8" ht="15" x14ac:dyDescent="0.2">
      <c r="A582" s="18">
        <v>2000000033655</v>
      </c>
      <c r="B582" s="19" t="s">
        <v>1213</v>
      </c>
      <c r="C582" s="20" t="s">
        <v>1214</v>
      </c>
      <c r="D582" s="2">
        <v>2.5</v>
      </c>
      <c r="E582" s="21"/>
      <c r="F582" s="2">
        <f t="shared" si="12"/>
        <v>0</v>
      </c>
      <c r="G582" s="3" t="str">
        <f>HYPERLINK("http://tmmp-catalog.com.ua/katalog/8/13588/","фото")</f>
        <v>фото</v>
      </c>
      <c r="H582" s="22"/>
    </row>
    <row r="583" spans="1:8" ht="15" x14ac:dyDescent="0.2">
      <c r="A583" s="18">
        <v>2000000033631</v>
      </c>
      <c r="B583" s="19" t="s">
        <v>1215</v>
      </c>
      <c r="C583" s="20" t="s">
        <v>1216</v>
      </c>
      <c r="D583" s="2">
        <v>1.9</v>
      </c>
      <c r="E583" s="21"/>
      <c r="F583" s="2">
        <f t="shared" si="12"/>
        <v>0</v>
      </c>
      <c r="G583" s="3" t="str">
        <f>HYPERLINK("http://tmmp-catalog.com.ua/katalog/8/13586/","фото")</f>
        <v>фото</v>
      </c>
      <c r="H583" s="22"/>
    </row>
    <row r="584" spans="1:8" ht="15" x14ac:dyDescent="0.2">
      <c r="A584" s="18"/>
      <c r="B584" s="19" t="s">
        <v>1217</v>
      </c>
      <c r="C584" s="20" t="s">
        <v>1218</v>
      </c>
      <c r="D584" s="2">
        <v>2.5</v>
      </c>
      <c r="E584" s="21"/>
      <c r="F584" s="2">
        <f t="shared" si="12"/>
        <v>0</v>
      </c>
      <c r="G584" s="3" t="str">
        <f>HYPERLINK("http://tmmp-catalog.com.ua/katalog/37/18581/","фото")</f>
        <v>фото</v>
      </c>
      <c r="H584" s="22"/>
    </row>
    <row r="585" spans="1:8" ht="15" x14ac:dyDescent="0.2">
      <c r="A585" s="18">
        <v>2000000033662</v>
      </c>
      <c r="B585" s="19" t="s">
        <v>1219</v>
      </c>
      <c r="C585" s="20" t="s">
        <v>1220</v>
      </c>
      <c r="D585" s="2">
        <v>0.05</v>
      </c>
      <c r="E585" s="21"/>
      <c r="F585" s="2">
        <f t="shared" si="12"/>
        <v>0</v>
      </c>
      <c r="G585" s="3" t="str">
        <f>HYPERLINK("http://tmmp-catalog.com.ua/katalog/8/13590/","фото")</f>
        <v>фото</v>
      </c>
      <c r="H585" s="22"/>
    </row>
    <row r="586" spans="1:8" ht="15" x14ac:dyDescent="0.2">
      <c r="A586" s="18">
        <v>2000000033679</v>
      </c>
      <c r="B586" s="19" t="s">
        <v>1221</v>
      </c>
      <c r="C586" s="20" t="s">
        <v>1222</v>
      </c>
      <c r="D586" s="2">
        <v>2.2000000000000002</v>
      </c>
      <c r="E586" s="21"/>
      <c r="F586" s="2">
        <f t="shared" si="12"/>
        <v>0</v>
      </c>
      <c r="G586" s="3" t="str">
        <f>HYPERLINK("http://tmmp-catalog.com.ua/katalog/8/13591/","фото")</f>
        <v>фото</v>
      </c>
      <c r="H586" s="22"/>
    </row>
    <row r="587" spans="1:8" ht="15" x14ac:dyDescent="0.2">
      <c r="A587" s="18">
        <v>2000000033754</v>
      </c>
      <c r="B587" s="19" t="s">
        <v>1223</v>
      </c>
      <c r="C587" s="20" t="s">
        <v>1224</v>
      </c>
      <c r="D587" s="2">
        <v>1.3</v>
      </c>
      <c r="E587" s="21"/>
      <c r="F587" s="2">
        <f t="shared" si="12"/>
        <v>0</v>
      </c>
      <c r="G587" s="3" t="str">
        <f>HYPERLINK("http://tmmp-catalog.com.ua/katalog/8/13599/","фото")</f>
        <v>фото</v>
      </c>
      <c r="H587" s="22"/>
    </row>
    <row r="588" spans="1:8" ht="15" x14ac:dyDescent="0.2">
      <c r="A588" s="18">
        <v>2000000033761</v>
      </c>
      <c r="B588" s="19" t="s">
        <v>1225</v>
      </c>
      <c r="C588" s="20" t="s">
        <v>1226</v>
      </c>
      <c r="D588" s="2">
        <v>0.6</v>
      </c>
      <c r="E588" s="21"/>
      <c r="F588" s="2">
        <f t="shared" si="12"/>
        <v>0</v>
      </c>
      <c r="G588" s="3" t="str">
        <f>HYPERLINK("http://tmmp-catalog.com.ua/katalog/8/13600/","фото")</f>
        <v>фото</v>
      </c>
      <c r="H588" s="22"/>
    </row>
    <row r="589" spans="1:8" ht="15" x14ac:dyDescent="0.2">
      <c r="A589" s="18">
        <v>2000000033778</v>
      </c>
      <c r="B589" s="19" t="s">
        <v>1227</v>
      </c>
      <c r="C589" s="20" t="s">
        <v>1228</v>
      </c>
      <c r="D589" s="2">
        <v>0.4</v>
      </c>
      <c r="E589" s="21"/>
      <c r="F589" s="2">
        <f t="shared" si="12"/>
        <v>0</v>
      </c>
      <c r="G589" s="3" t="str">
        <f>HYPERLINK("http://tmmp-catalog.com.ua/katalog/8/13601/","фото")</f>
        <v>фото</v>
      </c>
      <c r="H589" s="22"/>
    </row>
    <row r="590" spans="1:8" ht="15" x14ac:dyDescent="0.2">
      <c r="A590" s="18">
        <v>2000000033808</v>
      </c>
      <c r="B590" s="19" t="s">
        <v>1229</v>
      </c>
      <c r="C590" s="20" t="s">
        <v>1230</v>
      </c>
      <c r="D590" s="2">
        <v>0.15</v>
      </c>
      <c r="E590" s="21"/>
      <c r="F590" s="2">
        <f t="shared" si="12"/>
        <v>0</v>
      </c>
      <c r="G590" s="3" t="str">
        <f>HYPERLINK("http://tmmp-catalog.com.ua/katalog/8/13604/","фото")</f>
        <v>фото</v>
      </c>
      <c r="H590" s="22"/>
    </row>
    <row r="591" spans="1:8" ht="15" x14ac:dyDescent="0.2">
      <c r="A591" s="18"/>
      <c r="B591" s="19" t="s">
        <v>1231</v>
      </c>
      <c r="C591" s="20" t="s">
        <v>1232</v>
      </c>
      <c r="D591" s="2">
        <v>0.4</v>
      </c>
      <c r="E591" s="21"/>
      <c r="F591" s="2">
        <f t="shared" si="12"/>
        <v>0</v>
      </c>
      <c r="G591" s="3" t="str">
        <f>HYPERLINK("http://tmmp-catalog.com.ua/katalog/8/18085/","фото")</f>
        <v>фото</v>
      </c>
      <c r="H591" s="22"/>
    </row>
    <row r="592" spans="1:8" ht="15" x14ac:dyDescent="0.2">
      <c r="A592" s="18">
        <v>2000000033389</v>
      </c>
      <c r="B592" s="19" t="s">
        <v>1233</v>
      </c>
      <c r="C592" s="20" t="s">
        <v>1234</v>
      </c>
      <c r="D592" s="2">
        <v>0.1</v>
      </c>
      <c r="E592" s="21"/>
      <c r="F592" s="2">
        <f t="shared" si="12"/>
        <v>0</v>
      </c>
      <c r="G592" s="3" t="str">
        <f>HYPERLINK("http://tmmp-catalog.com.ua/katalog/8/13560/","фото")</f>
        <v>фото</v>
      </c>
      <c r="H592" s="22"/>
    </row>
    <row r="593" spans="1:8" ht="15" x14ac:dyDescent="0.2">
      <c r="A593" s="18">
        <v>2000000033860</v>
      </c>
      <c r="B593" s="19" t="s">
        <v>1235</v>
      </c>
      <c r="C593" s="20" t="s">
        <v>1236</v>
      </c>
      <c r="D593" s="2">
        <v>0.15</v>
      </c>
      <c r="E593" s="21"/>
      <c r="F593" s="2">
        <f t="shared" si="12"/>
        <v>0</v>
      </c>
      <c r="G593" s="3" t="str">
        <f>HYPERLINK("http://tmmp-catalog.com.ua/katalog/8/16564/","фото")</f>
        <v>фото</v>
      </c>
      <c r="H593" s="22"/>
    </row>
    <row r="594" spans="1:8" ht="15" x14ac:dyDescent="0.2">
      <c r="A594" s="18">
        <v>2000000003092</v>
      </c>
      <c r="B594" s="19" t="s">
        <v>1237</v>
      </c>
      <c r="C594" s="20" t="s">
        <v>1238</v>
      </c>
      <c r="D594" s="2">
        <v>0.3</v>
      </c>
      <c r="E594" s="21"/>
      <c r="F594" s="2">
        <f t="shared" si="12"/>
        <v>0</v>
      </c>
      <c r="G594" s="3" t="str">
        <f>HYPERLINK("http://tmmp-catalog.com.ua/katalog/10/16838/","фото")</f>
        <v>фото</v>
      </c>
      <c r="H594" s="22"/>
    </row>
    <row r="595" spans="1:8" ht="23.25" x14ac:dyDescent="0.2">
      <c r="A595" s="18"/>
      <c r="B595" s="51"/>
      <c r="C595" s="56" t="s">
        <v>2</v>
      </c>
      <c r="D595" s="52"/>
      <c r="E595" s="53"/>
      <c r="F595" s="52"/>
      <c r="G595" s="54"/>
      <c r="H595" s="55"/>
    </row>
    <row r="596" spans="1:8" ht="15" x14ac:dyDescent="0.2">
      <c r="A596" s="18">
        <v>2000000024042</v>
      </c>
      <c r="B596" s="19" t="s">
        <v>1239</v>
      </c>
      <c r="C596" s="20" t="s">
        <v>1240</v>
      </c>
      <c r="D596" s="2">
        <v>14.5</v>
      </c>
      <c r="E596" s="21"/>
      <c r="F596" s="2">
        <f t="shared" ref="F596:F627" si="13">cena*zakaz</f>
        <v>0</v>
      </c>
      <c r="G596" s="3" t="str">
        <f>HYPERLINK("http://tmmp-catalog.com.ua/katalog/3/14042/","фото")</f>
        <v>фото</v>
      </c>
      <c r="H596" s="22"/>
    </row>
    <row r="597" spans="1:8" ht="15" x14ac:dyDescent="0.2">
      <c r="A597" s="18">
        <v>2000000024806</v>
      </c>
      <c r="B597" s="19" t="s">
        <v>1241</v>
      </c>
      <c r="C597" s="20" t="s">
        <v>1242</v>
      </c>
      <c r="D597" s="2">
        <v>49</v>
      </c>
      <c r="E597" s="21"/>
      <c r="F597" s="2">
        <f t="shared" si="13"/>
        <v>0</v>
      </c>
      <c r="G597" s="3" t="str">
        <f>HYPERLINK("http://tmmp-catalog.com.ua/katalog/3/14119/","фото")</f>
        <v>фото</v>
      </c>
      <c r="H597" s="22"/>
    </row>
    <row r="598" spans="1:8" ht="15" x14ac:dyDescent="0.2">
      <c r="A598" s="18">
        <v>2000000024790</v>
      </c>
      <c r="B598" s="19" t="s">
        <v>1243</v>
      </c>
      <c r="C598" s="20" t="s">
        <v>1244</v>
      </c>
      <c r="D598" s="2">
        <v>41</v>
      </c>
      <c r="E598" s="21"/>
      <c r="F598" s="2">
        <f t="shared" si="13"/>
        <v>0</v>
      </c>
      <c r="G598" s="3" t="str">
        <f>HYPERLINK("http://tmmp-catalog.com.ua/katalog/3/14118/","фото")</f>
        <v>фото</v>
      </c>
      <c r="H598" s="22"/>
    </row>
    <row r="599" spans="1:8" ht="15" x14ac:dyDescent="0.2">
      <c r="A599" s="18">
        <v>2000000024059</v>
      </c>
      <c r="B599" s="19" t="s">
        <v>1245</v>
      </c>
      <c r="C599" s="20" t="s">
        <v>1246</v>
      </c>
      <c r="D599" s="2">
        <v>9</v>
      </c>
      <c r="E599" s="21"/>
      <c r="F599" s="2">
        <f t="shared" si="13"/>
        <v>0</v>
      </c>
      <c r="G599" s="3" t="str">
        <f>HYPERLINK("http://tmmp-catalog.com.ua/katalog/3/14043/","фото")</f>
        <v>фото</v>
      </c>
      <c r="H599" s="22"/>
    </row>
    <row r="600" spans="1:8" ht="15" x14ac:dyDescent="0.2">
      <c r="A600" s="18">
        <v>2000000024066</v>
      </c>
      <c r="B600" s="19" t="s">
        <v>1247</v>
      </c>
      <c r="C600" s="20" t="s">
        <v>1248</v>
      </c>
      <c r="D600" s="2">
        <v>22</v>
      </c>
      <c r="E600" s="21"/>
      <c r="F600" s="2">
        <f t="shared" si="13"/>
        <v>0</v>
      </c>
      <c r="G600" s="3" t="str">
        <f>HYPERLINK("http://tmmp-catalog.com.ua/katalog/3/14044/","фото")</f>
        <v>фото</v>
      </c>
      <c r="H600" s="22"/>
    </row>
    <row r="601" spans="1:8" ht="15" x14ac:dyDescent="0.2">
      <c r="A601" s="18">
        <v>2000000024073</v>
      </c>
      <c r="B601" s="19" t="s">
        <v>1249</v>
      </c>
      <c r="C601" s="20" t="s">
        <v>1250</v>
      </c>
      <c r="D601" s="2">
        <v>22</v>
      </c>
      <c r="E601" s="21"/>
      <c r="F601" s="2">
        <f t="shared" si="13"/>
        <v>0</v>
      </c>
      <c r="G601" s="3" t="str">
        <f>HYPERLINK("http://tmmp-catalog.com.ua/katalog/3/14045/","фото")</f>
        <v>фото</v>
      </c>
      <c r="H601" s="22"/>
    </row>
    <row r="602" spans="1:8" ht="15" x14ac:dyDescent="0.2">
      <c r="A602" s="18">
        <v>2000000024080</v>
      </c>
      <c r="B602" s="19" t="s">
        <v>1251</v>
      </c>
      <c r="C602" s="20" t="s">
        <v>1252</v>
      </c>
      <c r="D602" s="2">
        <v>22</v>
      </c>
      <c r="E602" s="21"/>
      <c r="F602" s="2">
        <f t="shared" si="13"/>
        <v>0</v>
      </c>
      <c r="G602" s="3" t="str">
        <f>HYPERLINK("http://tmmp-catalog.com.ua/katalog/3/14046/","фото")</f>
        <v>фото</v>
      </c>
      <c r="H602" s="22"/>
    </row>
    <row r="603" spans="1:8" ht="15" x14ac:dyDescent="0.2">
      <c r="A603" s="18">
        <v>2000000028286</v>
      </c>
      <c r="B603" s="19" t="s">
        <v>1253</v>
      </c>
      <c r="C603" s="20" t="s">
        <v>1254</v>
      </c>
      <c r="D603" s="2">
        <v>0.35</v>
      </c>
      <c r="E603" s="21"/>
      <c r="F603" s="2">
        <f t="shared" si="13"/>
        <v>0</v>
      </c>
      <c r="G603" s="3" t="str">
        <f>HYPERLINK("http://tmmp-catalog.com.ua/katalog/5/14166/","фото")</f>
        <v>фото</v>
      </c>
      <c r="H603" s="22"/>
    </row>
    <row r="604" spans="1:8" ht="15" x14ac:dyDescent="0.2">
      <c r="A604" s="18"/>
      <c r="B604" s="19" t="s">
        <v>1255</v>
      </c>
      <c r="C604" s="20" t="s">
        <v>1256</v>
      </c>
      <c r="D604" s="2">
        <v>5.5</v>
      </c>
      <c r="E604" s="21"/>
      <c r="F604" s="2">
        <f t="shared" si="13"/>
        <v>0</v>
      </c>
      <c r="G604" s="3" t="str">
        <f>HYPERLINK("http://tmmp-catalog.com.ua/katalog/37/18278/","фото")</f>
        <v>фото</v>
      </c>
      <c r="H604" s="22"/>
    </row>
    <row r="605" spans="1:8" ht="15" x14ac:dyDescent="0.2">
      <c r="A605" s="18"/>
      <c r="B605" s="19" t="s">
        <v>1257</v>
      </c>
      <c r="C605" s="20" t="s">
        <v>1258</v>
      </c>
      <c r="D605" s="2">
        <v>5</v>
      </c>
      <c r="E605" s="21"/>
      <c r="F605" s="2">
        <f t="shared" si="13"/>
        <v>0</v>
      </c>
      <c r="G605" s="3" t="str">
        <f>HYPERLINK("http://tmmp-catalog.com.ua/katalog/37/18279/","фото")</f>
        <v>фото</v>
      </c>
      <c r="H605" s="22"/>
    </row>
    <row r="606" spans="1:8" ht="15" x14ac:dyDescent="0.2">
      <c r="A606" s="18"/>
      <c r="B606" s="19" t="s">
        <v>1259</v>
      </c>
      <c r="C606" s="20" t="s">
        <v>1260</v>
      </c>
      <c r="D606" s="2">
        <v>5.3</v>
      </c>
      <c r="E606" s="21"/>
      <c r="F606" s="2">
        <f t="shared" si="13"/>
        <v>0</v>
      </c>
      <c r="G606" s="3" t="str">
        <f>HYPERLINK("http://tmmp-catalog.com.ua/katalog/37/18611/","фото")</f>
        <v>фото</v>
      </c>
      <c r="H606" s="22"/>
    </row>
    <row r="607" spans="1:8" ht="15" x14ac:dyDescent="0.2">
      <c r="A607" s="18">
        <v>2000000027852</v>
      </c>
      <c r="B607" s="19" t="s">
        <v>1261</v>
      </c>
      <c r="C607" s="20" t="s">
        <v>1262</v>
      </c>
      <c r="D607" s="2">
        <v>2.4</v>
      </c>
      <c r="E607" s="21"/>
      <c r="F607" s="2">
        <f t="shared" si="13"/>
        <v>0</v>
      </c>
      <c r="G607" s="3" t="str">
        <f>HYPERLINK("http://tmmp-catalog.com.ua/katalog/4/14220/","фото")</f>
        <v>фото</v>
      </c>
      <c r="H607" s="22"/>
    </row>
    <row r="608" spans="1:8" ht="15" x14ac:dyDescent="0.2">
      <c r="A608" s="18">
        <v>2000000027869</v>
      </c>
      <c r="B608" s="19" t="s">
        <v>1263</v>
      </c>
      <c r="C608" s="20" t="s">
        <v>1264</v>
      </c>
      <c r="D608" s="2">
        <v>1.4</v>
      </c>
      <c r="E608" s="21"/>
      <c r="F608" s="2">
        <f t="shared" si="13"/>
        <v>0</v>
      </c>
      <c r="G608" s="3" t="str">
        <f>HYPERLINK("http://tmmp-catalog.com.ua/katalog/4/14221/","фото")</f>
        <v>фото</v>
      </c>
      <c r="H608" s="22"/>
    </row>
    <row r="609" spans="1:8" ht="15" x14ac:dyDescent="0.2">
      <c r="A609" s="18">
        <v>2000000028798</v>
      </c>
      <c r="B609" s="19" t="s">
        <v>1265</v>
      </c>
      <c r="C609" s="20" t="s">
        <v>1266</v>
      </c>
      <c r="D609" s="2">
        <v>2.5</v>
      </c>
      <c r="E609" s="21"/>
      <c r="F609" s="2">
        <f t="shared" si="13"/>
        <v>0</v>
      </c>
      <c r="G609" s="3" t="str">
        <f>HYPERLINK("http://tmmp-catalog.com.ua/katalog/5/14218/","фото")</f>
        <v>фото</v>
      </c>
      <c r="H609" s="22"/>
    </row>
    <row r="610" spans="1:8" ht="15" x14ac:dyDescent="0.2">
      <c r="A610" s="18"/>
      <c r="B610" s="19" t="s">
        <v>1267</v>
      </c>
      <c r="C610" s="20" t="s">
        <v>1268</v>
      </c>
      <c r="D610" s="2">
        <v>2.2000000000000002</v>
      </c>
      <c r="E610" s="21"/>
      <c r="F610" s="2">
        <f t="shared" si="13"/>
        <v>0</v>
      </c>
      <c r="G610" s="3" t="str">
        <f>HYPERLINK("http://tmmp-catalog.com.ua/katalog/37/18282/","фото")</f>
        <v>фото</v>
      </c>
      <c r="H610" s="22"/>
    </row>
    <row r="611" spans="1:8" ht="15" x14ac:dyDescent="0.2">
      <c r="A611" s="18">
        <v>2000000027876</v>
      </c>
      <c r="B611" s="19" t="s">
        <v>1269</v>
      </c>
      <c r="C611" s="20" t="s">
        <v>1270</v>
      </c>
      <c r="D611" s="2">
        <v>1.9</v>
      </c>
      <c r="E611" s="21"/>
      <c r="F611" s="2">
        <f t="shared" si="13"/>
        <v>0</v>
      </c>
      <c r="G611" s="3" t="str">
        <f>HYPERLINK("http://tmmp-catalog.com.ua/katalog/4/14222/","фото")</f>
        <v>фото</v>
      </c>
      <c r="H611" s="22"/>
    </row>
    <row r="612" spans="1:8" ht="15" x14ac:dyDescent="0.2">
      <c r="A612" s="18">
        <v>2000000028323</v>
      </c>
      <c r="B612" s="19" t="s">
        <v>1271</v>
      </c>
      <c r="C612" s="20" t="s">
        <v>1272</v>
      </c>
      <c r="D612" s="2">
        <v>2.5</v>
      </c>
      <c r="E612" s="21"/>
      <c r="F612" s="2">
        <f t="shared" si="13"/>
        <v>0</v>
      </c>
      <c r="G612" s="3" t="str">
        <f>HYPERLINK("http://tmmp-catalog.com.ua/katalog/5/14170/","фото")</f>
        <v>фото</v>
      </c>
      <c r="H612" s="22"/>
    </row>
    <row r="613" spans="1:8" ht="15" x14ac:dyDescent="0.2">
      <c r="A613" s="18">
        <v>2000000024127</v>
      </c>
      <c r="B613" s="19" t="s">
        <v>1273</v>
      </c>
      <c r="C613" s="20" t="s">
        <v>1274</v>
      </c>
      <c r="D613" s="2">
        <v>13.5</v>
      </c>
      <c r="E613" s="21"/>
      <c r="F613" s="2">
        <f t="shared" si="13"/>
        <v>0</v>
      </c>
      <c r="G613" s="3" t="str">
        <f>HYPERLINK("http://tmmp-catalog.com.ua/katalog/3/14051/","фото")</f>
        <v>фото</v>
      </c>
      <c r="H613" s="22"/>
    </row>
    <row r="614" spans="1:8" ht="15" x14ac:dyDescent="0.2">
      <c r="A614" s="18">
        <v>2000000024134</v>
      </c>
      <c r="B614" s="19" t="s">
        <v>1275</v>
      </c>
      <c r="C614" s="20" t="s">
        <v>1276</v>
      </c>
      <c r="D614" s="2">
        <v>21</v>
      </c>
      <c r="E614" s="21"/>
      <c r="F614" s="2">
        <f t="shared" si="13"/>
        <v>0</v>
      </c>
      <c r="G614" s="3" t="str">
        <f>HYPERLINK("http://tmmp-catalog.com.ua/katalog/3/14052/","фото")</f>
        <v>фото</v>
      </c>
      <c r="H614" s="22"/>
    </row>
    <row r="615" spans="1:8" ht="15" x14ac:dyDescent="0.2">
      <c r="A615" s="18">
        <v>2000000028347</v>
      </c>
      <c r="B615" s="19" t="s">
        <v>1277</v>
      </c>
      <c r="C615" s="20" t="s">
        <v>1278</v>
      </c>
      <c r="D615" s="2">
        <v>55</v>
      </c>
      <c r="E615" s="21"/>
      <c r="F615" s="2">
        <f t="shared" si="13"/>
        <v>0</v>
      </c>
      <c r="G615" s="3" t="str">
        <f>HYPERLINK("http://tmmp-catalog.com.ua/katalog/5/14172/","фото")</f>
        <v>фото</v>
      </c>
      <c r="H615" s="22"/>
    </row>
    <row r="616" spans="1:8" ht="15" x14ac:dyDescent="0.2">
      <c r="A616" s="18">
        <v>2000000028354</v>
      </c>
      <c r="B616" s="19" t="s">
        <v>1279</v>
      </c>
      <c r="C616" s="20" t="s">
        <v>1280</v>
      </c>
      <c r="D616" s="2">
        <v>56</v>
      </c>
      <c r="E616" s="21"/>
      <c r="F616" s="2">
        <f t="shared" si="13"/>
        <v>0</v>
      </c>
      <c r="G616" s="3" t="str">
        <f>HYPERLINK("http://tmmp-catalog.com.ua/katalog/5/14173/","фото")</f>
        <v>фото</v>
      </c>
      <c r="H616" s="22"/>
    </row>
    <row r="617" spans="1:8" ht="15" x14ac:dyDescent="0.2">
      <c r="A617" s="18">
        <v>2000000028361</v>
      </c>
      <c r="B617" s="19" t="s">
        <v>1281</v>
      </c>
      <c r="C617" s="20" t="s">
        <v>1282</v>
      </c>
      <c r="D617" s="2">
        <v>58</v>
      </c>
      <c r="E617" s="21"/>
      <c r="F617" s="2">
        <f t="shared" si="13"/>
        <v>0</v>
      </c>
      <c r="G617" s="3" t="str">
        <f>HYPERLINK("http://tmmp-catalog.com.ua/katalog/5/14174/","фото")</f>
        <v>фото</v>
      </c>
      <c r="H617" s="22"/>
    </row>
    <row r="618" spans="1:8" ht="15" x14ac:dyDescent="0.2">
      <c r="A618" s="18">
        <v>2000000024158</v>
      </c>
      <c r="B618" s="19" t="s">
        <v>1283</v>
      </c>
      <c r="C618" s="20" t="s">
        <v>1284</v>
      </c>
      <c r="D618" s="2">
        <v>2.6</v>
      </c>
      <c r="E618" s="21"/>
      <c r="F618" s="2">
        <f t="shared" si="13"/>
        <v>0</v>
      </c>
      <c r="G618" s="3" t="str">
        <f>HYPERLINK("http://tmmp-catalog.com.ua/katalog/3/14054/","фото")</f>
        <v>фото</v>
      </c>
      <c r="H618" s="22"/>
    </row>
    <row r="619" spans="1:8" ht="15" x14ac:dyDescent="0.2">
      <c r="A619" s="18">
        <v>2000000024141</v>
      </c>
      <c r="B619" s="19" t="s">
        <v>1285</v>
      </c>
      <c r="C619" s="20" t="s">
        <v>1286</v>
      </c>
      <c r="D619" s="2">
        <v>2.4</v>
      </c>
      <c r="E619" s="21"/>
      <c r="F619" s="2">
        <f t="shared" si="13"/>
        <v>0</v>
      </c>
      <c r="G619" s="3" t="str">
        <f>HYPERLINK("http://tmmp-catalog.com.ua/katalog/3/14053/","фото")</f>
        <v>фото</v>
      </c>
      <c r="H619" s="22"/>
    </row>
    <row r="620" spans="1:8" ht="15" x14ac:dyDescent="0.2">
      <c r="A620" s="18">
        <v>2000000025360</v>
      </c>
      <c r="B620" s="19" t="s">
        <v>1287</v>
      </c>
      <c r="C620" s="20" t="s">
        <v>1288</v>
      </c>
      <c r="D620" s="2">
        <v>1.1000000000000001</v>
      </c>
      <c r="E620" s="21"/>
      <c r="F620" s="2">
        <f t="shared" si="13"/>
        <v>0</v>
      </c>
      <c r="G620" s="3" t="str">
        <f>HYPERLINK("http://tmmp-catalog.com.ua/katalog/3/16883/","фото")</f>
        <v>фото</v>
      </c>
      <c r="H620" s="22"/>
    </row>
    <row r="621" spans="1:8" ht="15" x14ac:dyDescent="0.2">
      <c r="A621" s="18"/>
      <c r="B621" s="19" t="s">
        <v>1289</v>
      </c>
      <c r="C621" s="20" t="s">
        <v>1290</v>
      </c>
      <c r="D621" s="2">
        <v>415</v>
      </c>
      <c r="E621" s="21"/>
      <c r="F621" s="2">
        <f t="shared" si="13"/>
        <v>0</v>
      </c>
      <c r="G621" s="3" t="str">
        <f>HYPERLINK("http://tmmp-catalog.com.ua/katalog/5/18251/","фото")</f>
        <v>фото</v>
      </c>
      <c r="H621" s="22"/>
    </row>
    <row r="622" spans="1:8" ht="15" x14ac:dyDescent="0.2">
      <c r="A622" s="18">
        <v>2000000028378</v>
      </c>
      <c r="B622" s="19" t="s">
        <v>1291</v>
      </c>
      <c r="C622" s="20" t="s">
        <v>1292</v>
      </c>
      <c r="D622" s="2">
        <v>430</v>
      </c>
      <c r="E622" s="21"/>
      <c r="F622" s="2">
        <f t="shared" si="13"/>
        <v>0</v>
      </c>
      <c r="G622" s="3" t="str">
        <f>HYPERLINK("http://tmmp-catalog.com.ua/katalog/5/14175/","фото")</f>
        <v>фото</v>
      </c>
      <c r="H622" s="22"/>
    </row>
    <row r="623" spans="1:8" ht="15" x14ac:dyDescent="0.2">
      <c r="A623" s="18">
        <v>2000000028385</v>
      </c>
      <c r="B623" s="19" t="s">
        <v>1293</v>
      </c>
      <c r="C623" s="20" t="s">
        <v>1294</v>
      </c>
      <c r="D623" s="2">
        <v>490</v>
      </c>
      <c r="E623" s="21"/>
      <c r="F623" s="2">
        <f t="shared" si="13"/>
        <v>0</v>
      </c>
      <c r="G623" s="3" t="str">
        <f>HYPERLINK("http://tmmp-catalog.com.ua/katalog/5/14176/","фото")</f>
        <v>фото</v>
      </c>
      <c r="H623" s="22"/>
    </row>
    <row r="624" spans="1:8" ht="15" x14ac:dyDescent="0.2">
      <c r="A624" s="18"/>
      <c r="B624" s="19" t="s">
        <v>1295</v>
      </c>
      <c r="C624" s="20" t="s">
        <v>1296</v>
      </c>
      <c r="D624" s="2">
        <v>520</v>
      </c>
      <c r="E624" s="21"/>
      <c r="F624" s="2">
        <f t="shared" si="13"/>
        <v>0</v>
      </c>
      <c r="G624" s="3" t="str">
        <f>HYPERLINK("http://tmmp-catalog.com.ua/katalog/5/17914/","фото")</f>
        <v>фото</v>
      </c>
      <c r="H624" s="22"/>
    </row>
    <row r="625" spans="1:8" ht="15" x14ac:dyDescent="0.2">
      <c r="A625" s="18">
        <v>2000000028392</v>
      </c>
      <c r="B625" s="19" t="s">
        <v>1297</v>
      </c>
      <c r="C625" s="20" t="s">
        <v>1298</v>
      </c>
      <c r="D625" s="2">
        <v>660</v>
      </c>
      <c r="E625" s="21"/>
      <c r="F625" s="2">
        <f t="shared" si="13"/>
        <v>0</v>
      </c>
      <c r="G625" s="3" t="str">
        <f>HYPERLINK("http://tmmp-catalog.com.ua/katalog/5/14177/","фото")</f>
        <v>фото</v>
      </c>
      <c r="H625" s="22"/>
    </row>
    <row r="626" spans="1:8" ht="15" x14ac:dyDescent="0.2">
      <c r="A626" s="18">
        <v>2000000027913</v>
      </c>
      <c r="B626" s="19" t="s">
        <v>1299</v>
      </c>
      <c r="C626" s="20" t="s">
        <v>1300</v>
      </c>
      <c r="D626" s="2">
        <v>370</v>
      </c>
      <c r="E626" s="21"/>
      <c r="F626" s="2">
        <f t="shared" si="13"/>
        <v>0</v>
      </c>
      <c r="G626" s="3" t="str">
        <f>HYPERLINK("http://tmmp-catalog.com.ua/katalog/4/14226/","фото")</f>
        <v>фото</v>
      </c>
      <c r="H626" s="22"/>
    </row>
    <row r="627" spans="1:8" ht="15" x14ac:dyDescent="0.2">
      <c r="A627" s="18"/>
      <c r="B627" s="19" t="s">
        <v>1301</v>
      </c>
      <c r="C627" s="20" t="s">
        <v>1302</v>
      </c>
      <c r="D627" s="2">
        <v>475</v>
      </c>
      <c r="E627" s="21"/>
      <c r="F627" s="2">
        <f t="shared" si="13"/>
        <v>0</v>
      </c>
      <c r="G627" s="3" t="str">
        <f>HYPERLINK("http://tmmp-catalog.com.ua/katalog/37/18294/","фото")</f>
        <v>фото</v>
      </c>
      <c r="H627" s="22"/>
    </row>
    <row r="628" spans="1:8" ht="15" x14ac:dyDescent="0.2">
      <c r="A628" s="18">
        <v>2000000027920</v>
      </c>
      <c r="B628" s="19" t="s">
        <v>1303</v>
      </c>
      <c r="C628" s="20" t="s">
        <v>1304</v>
      </c>
      <c r="D628" s="2">
        <v>390</v>
      </c>
      <c r="E628" s="21"/>
      <c r="F628" s="2">
        <f t="shared" ref="F628:F659" si="14">cena*zakaz</f>
        <v>0</v>
      </c>
      <c r="G628" s="3" t="str">
        <f>HYPERLINK("http://tmmp-catalog.com.ua/katalog/4/14227/","фото")</f>
        <v>фото</v>
      </c>
      <c r="H628" s="22"/>
    </row>
    <row r="629" spans="1:8" ht="15" x14ac:dyDescent="0.2">
      <c r="A629" s="18">
        <v>2000000027937</v>
      </c>
      <c r="B629" s="19" t="s">
        <v>1305</v>
      </c>
      <c r="C629" s="20" t="s">
        <v>1306</v>
      </c>
      <c r="D629" s="2">
        <v>665</v>
      </c>
      <c r="E629" s="21"/>
      <c r="F629" s="2">
        <f t="shared" si="14"/>
        <v>0</v>
      </c>
      <c r="G629" s="3" t="str">
        <f>HYPERLINK("http://tmmp-catalog.com.ua/katalog/4/14228/","фото")</f>
        <v>фото</v>
      </c>
      <c r="H629" s="22"/>
    </row>
    <row r="630" spans="1:8" ht="15" x14ac:dyDescent="0.2">
      <c r="A630" s="18">
        <v>2000000027944</v>
      </c>
      <c r="B630" s="19" t="s">
        <v>1307</v>
      </c>
      <c r="C630" s="20" t="s">
        <v>1308</v>
      </c>
      <c r="D630" s="2">
        <v>650</v>
      </c>
      <c r="E630" s="21"/>
      <c r="F630" s="2">
        <f t="shared" si="14"/>
        <v>0</v>
      </c>
      <c r="G630" s="3" t="str">
        <f>HYPERLINK("http://tmmp-catalog.com.ua/katalog/4/14229/","фото")</f>
        <v>фото</v>
      </c>
      <c r="H630" s="22"/>
    </row>
    <row r="631" spans="1:8" ht="15" x14ac:dyDescent="0.2">
      <c r="A631" s="18">
        <v>2000000024172</v>
      </c>
      <c r="B631" s="19" t="s">
        <v>1309</v>
      </c>
      <c r="C631" s="20" t="s">
        <v>1310</v>
      </c>
      <c r="D631" s="2">
        <v>2.2000000000000002</v>
      </c>
      <c r="E631" s="21"/>
      <c r="F631" s="2">
        <f t="shared" si="14"/>
        <v>0</v>
      </c>
      <c r="G631" s="3" t="str">
        <f>HYPERLINK("http://tmmp-catalog.com.ua/katalog/3/14056/","фото")</f>
        <v>фото</v>
      </c>
      <c r="H631" s="22"/>
    </row>
    <row r="632" spans="1:8" ht="15" x14ac:dyDescent="0.2">
      <c r="A632" s="18">
        <v>2000000024189</v>
      </c>
      <c r="B632" s="19" t="s">
        <v>1311</v>
      </c>
      <c r="C632" s="20" t="s">
        <v>1312</v>
      </c>
      <c r="D632" s="2">
        <v>14</v>
      </c>
      <c r="E632" s="21"/>
      <c r="F632" s="2">
        <f t="shared" si="14"/>
        <v>0</v>
      </c>
      <c r="G632" s="3" t="str">
        <f>HYPERLINK("http://tmmp-catalog.com.ua/katalog/3/14057/","фото")</f>
        <v>фото</v>
      </c>
      <c r="H632" s="22"/>
    </row>
    <row r="633" spans="1:8" ht="15" x14ac:dyDescent="0.2">
      <c r="A633" s="18">
        <v>2000000024196</v>
      </c>
      <c r="B633" s="19" t="s">
        <v>1313</v>
      </c>
      <c r="C633" s="20" t="s">
        <v>1314</v>
      </c>
      <c r="D633" s="2">
        <v>0.9</v>
      </c>
      <c r="E633" s="21"/>
      <c r="F633" s="2">
        <f t="shared" si="14"/>
        <v>0</v>
      </c>
      <c r="G633" s="3" t="str">
        <f>HYPERLINK("http://tmmp-catalog.com.ua/katalog/3/14058/","фото")</f>
        <v>фото</v>
      </c>
      <c r="H633" s="22"/>
    </row>
    <row r="634" spans="1:8" ht="15" x14ac:dyDescent="0.2">
      <c r="A634" s="18">
        <v>2000000024202</v>
      </c>
      <c r="B634" s="19" t="s">
        <v>1315</v>
      </c>
      <c r="C634" s="20" t="s">
        <v>1316</v>
      </c>
      <c r="D634" s="2">
        <v>0.65</v>
      </c>
      <c r="E634" s="21"/>
      <c r="F634" s="2">
        <f t="shared" si="14"/>
        <v>0</v>
      </c>
      <c r="G634" s="3" t="str">
        <f>HYPERLINK("http://tmmp-catalog.com.ua/katalog/3/14059/","фото")</f>
        <v>фото</v>
      </c>
      <c r="H634" s="22"/>
    </row>
    <row r="635" spans="1:8" ht="15" x14ac:dyDescent="0.2">
      <c r="A635" s="18">
        <v>2000000024219</v>
      </c>
      <c r="B635" s="19" t="s">
        <v>1317</v>
      </c>
      <c r="C635" s="20" t="s">
        <v>1318</v>
      </c>
      <c r="D635" s="2">
        <v>49</v>
      </c>
      <c r="E635" s="21"/>
      <c r="F635" s="2">
        <f t="shared" si="14"/>
        <v>0</v>
      </c>
      <c r="G635" s="3" t="str">
        <f>HYPERLINK("http://tmmp-catalog.com.ua/katalog/3/14060/","фото")</f>
        <v>фото</v>
      </c>
      <c r="H635" s="22"/>
    </row>
    <row r="636" spans="1:8" ht="15" x14ac:dyDescent="0.2">
      <c r="A636" s="18">
        <v>2000000024226</v>
      </c>
      <c r="B636" s="19" t="s">
        <v>1319</v>
      </c>
      <c r="C636" s="20" t="s">
        <v>1320</v>
      </c>
      <c r="D636" s="2">
        <v>47</v>
      </c>
      <c r="E636" s="21"/>
      <c r="F636" s="2">
        <f t="shared" si="14"/>
        <v>0</v>
      </c>
      <c r="G636" s="3" t="str">
        <f>HYPERLINK("http://tmmp-catalog.com.ua/katalog/3/14061/","фото")</f>
        <v>фото</v>
      </c>
      <c r="H636" s="22"/>
    </row>
    <row r="637" spans="1:8" ht="15" x14ac:dyDescent="0.2">
      <c r="A637" s="18">
        <v>2000000028408</v>
      </c>
      <c r="B637" s="19" t="s">
        <v>1321</v>
      </c>
      <c r="C637" s="20" t="s">
        <v>1322</v>
      </c>
      <c r="D637" s="2">
        <v>1.7</v>
      </c>
      <c r="E637" s="21"/>
      <c r="F637" s="2">
        <f t="shared" si="14"/>
        <v>0</v>
      </c>
      <c r="G637" s="3" t="str">
        <f>HYPERLINK("http://tmmp-catalog.com.ua/katalog/5/14178/","фото")</f>
        <v>фото</v>
      </c>
      <c r="H637" s="22"/>
    </row>
    <row r="638" spans="1:8" ht="15" x14ac:dyDescent="0.2">
      <c r="A638" s="18"/>
      <c r="B638" s="19" t="s">
        <v>1323</v>
      </c>
      <c r="C638" s="20" t="s">
        <v>1324</v>
      </c>
      <c r="D638" s="2">
        <v>0.5</v>
      </c>
      <c r="E638" s="21"/>
      <c r="F638" s="2">
        <f t="shared" si="14"/>
        <v>0</v>
      </c>
      <c r="G638" s="3" t="str">
        <f>HYPERLINK("http://tmmp-catalog.com.ua/katalog/3/17241/","фото")</f>
        <v>фото</v>
      </c>
      <c r="H638" s="22"/>
    </row>
    <row r="639" spans="1:8" ht="15" x14ac:dyDescent="0.2">
      <c r="A639" s="18">
        <v>2000000024240</v>
      </c>
      <c r="B639" s="19" t="s">
        <v>1325</v>
      </c>
      <c r="C639" s="20" t="s">
        <v>1326</v>
      </c>
      <c r="D639" s="2">
        <v>3.7</v>
      </c>
      <c r="E639" s="21"/>
      <c r="F639" s="2">
        <f t="shared" si="14"/>
        <v>0</v>
      </c>
      <c r="G639" s="3" t="str">
        <f>HYPERLINK("http://tmmp-catalog.com.ua/katalog/3/14063/","фото")</f>
        <v>фото</v>
      </c>
      <c r="H639" s="22"/>
    </row>
    <row r="640" spans="1:8" ht="15" x14ac:dyDescent="0.2">
      <c r="A640" s="18">
        <v>2000000024257</v>
      </c>
      <c r="B640" s="19" t="s">
        <v>1327</v>
      </c>
      <c r="C640" s="20" t="s">
        <v>1328</v>
      </c>
      <c r="D640" s="2">
        <v>3.8</v>
      </c>
      <c r="E640" s="21"/>
      <c r="F640" s="2">
        <f t="shared" si="14"/>
        <v>0</v>
      </c>
      <c r="G640" s="3" t="str">
        <f>HYPERLINK("http://tmmp-catalog.com.ua/katalog/3/14064/","фото")</f>
        <v>фото</v>
      </c>
      <c r="H640" s="22"/>
    </row>
    <row r="641" spans="1:8" ht="15" x14ac:dyDescent="0.2">
      <c r="A641" s="18">
        <v>2000000024288</v>
      </c>
      <c r="B641" s="19" t="s">
        <v>1329</v>
      </c>
      <c r="C641" s="20" t="s">
        <v>1330</v>
      </c>
      <c r="D641" s="2">
        <v>2.85</v>
      </c>
      <c r="E641" s="21"/>
      <c r="F641" s="2">
        <f t="shared" si="14"/>
        <v>0</v>
      </c>
      <c r="G641" s="3" t="str">
        <f>HYPERLINK("http://tmmp-catalog.com.ua/katalog/3/14067/","фото")</f>
        <v>фото</v>
      </c>
      <c r="H641" s="22"/>
    </row>
    <row r="642" spans="1:8" ht="15" x14ac:dyDescent="0.2">
      <c r="A642" s="18">
        <v>2000000024295</v>
      </c>
      <c r="B642" s="19" t="s">
        <v>1331</v>
      </c>
      <c r="C642" s="20" t="s">
        <v>1332</v>
      </c>
      <c r="D642" s="2">
        <v>4</v>
      </c>
      <c r="E642" s="21"/>
      <c r="F642" s="2">
        <f t="shared" si="14"/>
        <v>0</v>
      </c>
      <c r="G642" s="3" t="str">
        <f>HYPERLINK("http://tmmp-catalog.com.ua/katalog/3/14068/","фото")</f>
        <v>фото</v>
      </c>
      <c r="H642" s="22"/>
    </row>
    <row r="643" spans="1:8" ht="15" x14ac:dyDescent="0.2">
      <c r="A643" s="18">
        <v>2000000025315</v>
      </c>
      <c r="B643" s="19" t="s">
        <v>1333</v>
      </c>
      <c r="C643" s="20" t="s">
        <v>1334</v>
      </c>
      <c r="D643" s="2">
        <v>4</v>
      </c>
      <c r="E643" s="21"/>
      <c r="F643" s="2">
        <f t="shared" si="14"/>
        <v>0</v>
      </c>
      <c r="G643" s="3" t="str">
        <f>HYPERLINK("http://tmmp-catalog.com.ua/katalog/3/16597/","фото")</f>
        <v>фото</v>
      </c>
      <c r="H643" s="22"/>
    </row>
    <row r="644" spans="1:8" ht="15" x14ac:dyDescent="0.2">
      <c r="A644" s="18">
        <v>2000000025339</v>
      </c>
      <c r="B644" s="19" t="s">
        <v>1335</v>
      </c>
      <c r="C644" s="20" t="s">
        <v>1336</v>
      </c>
      <c r="D644" s="2">
        <v>4.5</v>
      </c>
      <c r="E644" s="21"/>
      <c r="F644" s="2">
        <f t="shared" si="14"/>
        <v>0</v>
      </c>
      <c r="G644" s="3" t="str">
        <f>HYPERLINK("http://tmmp-catalog.com.ua/katalog/3/16599/","фото")</f>
        <v>фото</v>
      </c>
      <c r="H644" s="22"/>
    </row>
    <row r="645" spans="1:8" ht="15" x14ac:dyDescent="0.2">
      <c r="A645" s="18"/>
      <c r="B645" s="19" t="s">
        <v>1337</v>
      </c>
      <c r="C645" s="20" t="s">
        <v>1338</v>
      </c>
      <c r="D645" s="2">
        <v>5.2</v>
      </c>
      <c r="E645" s="21"/>
      <c r="F645" s="2">
        <f t="shared" si="14"/>
        <v>0</v>
      </c>
      <c r="G645" s="3" t="str">
        <f>HYPERLINK("http://tmmp-catalog.com.ua/katalog/37/18300/","фото")</f>
        <v>фото</v>
      </c>
      <c r="H645" s="22"/>
    </row>
    <row r="646" spans="1:8" ht="15" x14ac:dyDescent="0.2">
      <c r="A646" s="18">
        <v>2000000025346</v>
      </c>
      <c r="B646" s="19" t="s">
        <v>1339</v>
      </c>
      <c r="C646" s="20" t="s">
        <v>1340</v>
      </c>
      <c r="D646" s="2">
        <v>5.0999999999999996</v>
      </c>
      <c r="E646" s="21"/>
      <c r="F646" s="2">
        <f t="shared" si="14"/>
        <v>0</v>
      </c>
      <c r="G646" s="3" t="str">
        <f>HYPERLINK("http://tmmp-catalog.com.ua/katalog/3/16600/","фото")</f>
        <v>фото</v>
      </c>
      <c r="H646" s="22"/>
    </row>
    <row r="647" spans="1:8" ht="15" x14ac:dyDescent="0.2">
      <c r="A647" s="18">
        <v>2000000024325</v>
      </c>
      <c r="B647" s="19" t="s">
        <v>1341</v>
      </c>
      <c r="C647" s="20" t="s">
        <v>1342</v>
      </c>
      <c r="D647" s="2">
        <v>0.75</v>
      </c>
      <c r="E647" s="21"/>
      <c r="F647" s="2">
        <f t="shared" si="14"/>
        <v>0</v>
      </c>
      <c r="G647" s="3" t="str">
        <f>HYPERLINK("http://tmmp-catalog.com.ua/katalog/3/14071/","фото")</f>
        <v>фото</v>
      </c>
      <c r="H647" s="22"/>
    </row>
    <row r="648" spans="1:8" ht="15" x14ac:dyDescent="0.2">
      <c r="A648" s="18">
        <v>2000000024363</v>
      </c>
      <c r="B648" s="19" t="s">
        <v>1343</v>
      </c>
      <c r="C648" s="20" t="s">
        <v>1344</v>
      </c>
      <c r="D648" s="2">
        <v>0.8</v>
      </c>
      <c r="E648" s="21"/>
      <c r="F648" s="2">
        <f t="shared" si="14"/>
        <v>0</v>
      </c>
      <c r="G648" s="3" t="str">
        <f>HYPERLINK("http://tmmp-catalog.com.ua/katalog/3/14075/","фото")</f>
        <v>фото</v>
      </c>
      <c r="H648" s="22"/>
    </row>
    <row r="649" spans="1:8" ht="15" x14ac:dyDescent="0.2">
      <c r="A649" s="18">
        <v>2000000024370</v>
      </c>
      <c r="B649" s="19" t="s">
        <v>1345</v>
      </c>
      <c r="C649" s="20" t="s">
        <v>1346</v>
      </c>
      <c r="D649" s="2">
        <v>0.95</v>
      </c>
      <c r="E649" s="21"/>
      <c r="F649" s="2">
        <f t="shared" si="14"/>
        <v>0</v>
      </c>
      <c r="G649" s="3" t="str">
        <f>HYPERLINK("http://tmmp-catalog.com.ua/katalog/3/14076/","фото")</f>
        <v>фото</v>
      </c>
      <c r="H649" s="22"/>
    </row>
    <row r="650" spans="1:8" ht="15" x14ac:dyDescent="0.2">
      <c r="A650" s="18">
        <v>2000000028415</v>
      </c>
      <c r="B650" s="19" t="s">
        <v>1347</v>
      </c>
      <c r="C650" s="20" t="s">
        <v>1348</v>
      </c>
      <c r="D650" s="2">
        <v>0.6</v>
      </c>
      <c r="E650" s="21"/>
      <c r="F650" s="2">
        <f t="shared" si="14"/>
        <v>0</v>
      </c>
      <c r="G650" s="3" t="str">
        <f>HYPERLINK("http://tmmp-catalog.com.ua/katalog/5/14179/","фото")</f>
        <v>фото</v>
      </c>
      <c r="H650" s="22"/>
    </row>
    <row r="651" spans="1:8" ht="15" x14ac:dyDescent="0.2">
      <c r="A651" s="18">
        <v>2000000024554</v>
      </c>
      <c r="B651" s="19" t="s">
        <v>1349</v>
      </c>
      <c r="C651" s="20" t="s">
        <v>1350</v>
      </c>
      <c r="D651" s="2">
        <v>4.2</v>
      </c>
      <c r="E651" s="21"/>
      <c r="F651" s="2">
        <f t="shared" si="14"/>
        <v>0</v>
      </c>
      <c r="G651" s="3" t="str">
        <f>HYPERLINK("http://tmmp-catalog.com.ua/katalog/3/14094/","фото")</f>
        <v>фото</v>
      </c>
      <c r="H651" s="22"/>
    </row>
    <row r="652" spans="1:8" ht="15" x14ac:dyDescent="0.2">
      <c r="A652" s="18"/>
      <c r="B652" s="19" t="s">
        <v>1351</v>
      </c>
      <c r="C652" s="20" t="s">
        <v>1352</v>
      </c>
      <c r="D652" s="2">
        <v>4.4000000000000004</v>
      </c>
      <c r="E652" s="21"/>
      <c r="F652" s="2">
        <f t="shared" si="14"/>
        <v>0</v>
      </c>
      <c r="G652" s="3" t="str">
        <f>HYPERLINK("http://tmmp-catalog.com.ua/katalog/37/18309/","фото")</f>
        <v>фото</v>
      </c>
      <c r="H652" s="22"/>
    </row>
    <row r="653" spans="1:8" ht="15" x14ac:dyDescent="0.2">
      <c r="A653" s="18">
        <v>2000000024561</v>
      </c>
      <c r="B653" s="19" t="s">
        <v>1353</v>
      </c>
      <c r="C653" s="20" t="s">
        <v>1354</v>
      </c>
      <c r="D653" s="2">
        <v>3.8</v>
      </c>
      <c r="E653" s="21"/>
      <c r="F653" s="2">
        <f t="shared" si="14"/>
        <v>0</v>
      </c>
      <c r="G653" s="3" t="str">
        <f>HYPERLINK("http://tmmp-catalog.com.ua/katalog/3/14095/","фото")</f>
        <v>фото</v>
      </c>
      <c r="H653" s="22"/>
    </row>
    <row r="654" spans="1:8" ht="15" x14ac:dyDescent="0.2">
      <c r="A654" s="18">
        <v>2000000024578</v>
      </c>
      <c r="B654" s="19" t="s">
        <v>1355</v>
      </c>
      <c r="C654" s="20" t="s">
        <v>1356</v>
      </c>
      <c r="D654" s="2">
        <v>4.8</v>
      </c>
      <c r="E654" s="21"/>
      <c r="F654" s="2">
        <f t="shared" si="14"/>
        <v>0</v>
      </c>
      <c r="G654" s="3" t="str">
        <f>HYPERLINK("http://tmmp-catalog.com.ua/katalog/3/14096/","фото")</f>
        <v>фото</v>
      </c>
      <c r="H654" s="22"/>
    </row>
    <row r="655" spans="1:8" ht="15" x14ac:dyDescent="0.2">
      <c r="A655" s="18">
        <v>2000000024585</v>
      </c>
      <c r="B655" s="19" t="s">
        <v>1357</v>
      </c>
      <c r="C655" s="20" t="s">
        <v>1358</v>
      </c>
      <c r="D655" s="2">
        <v>3.7</v>
      </c>
      <c r="E655" s="21"/>
      <c r="F655" s="2">
        <f t="shared" si="14"/>
        <v>0</v>
      </c>
      <c r="G655" s="3" t="str">
        <f>HYPERLINK("http://tmmp-catalog.com.ua/katalog/3/14097/","фото")</f>
        <v>фото</v>
      </c>
      <c r="H655" s="22"/>
    </row>
    <row r="656" spans="1:8" ht="15" x14ac:dyDescent="0.2">
      <c r="A656" s="18">
        <v>2000000024592</v>
      </c>
      <c r="B656" s="19" t="s">
        <v>1359</v>
      </c>
      <c r="C656" s="20" t="s">
        <v>1360</v>
      </c>
      <c r="D656" s="2">
        <v>5.0999999999999996</v>
      </c>
      <c r="E656" s="21"/>
      <c r="F656" s="2">
        <f t="shared" si="14"/>
        <v>0</v>
      </c>
      <c r="G656" s="3" t="str">
        <f>HYPERLINK("http://tmmp-catalog.com.ua/katalog/3/14098/","фото")</f>
        <v>фото</v>
      </c>
      <c r="H656" s="22"/>
    </row>
    <row r="657" spans="1:8" ht="15" x14ac:dyDescent="0.2">
      <c r="A657" s="18">
        <v>2000000025308</v>
      </c>
      <c r="B657" s="19" t="s">
        <v>1361</v>
      </c>
      <c r="C657" s="20" t="s">
        <v>1362</v>
      </c>
      <c r="D657" s="2">
        <v>3.9</v>
      </c>
      <c r="E657" s="21"/>
      <c r="F657" s="2">
        <f t="shared" si="14"/>
        <v>0</v>
      </c>
      <c r="G657" s="3" t="str">
        <f>HYPERLINK("http://tmmp-catalog.com.ua/katalog/3/16596/","фото")</f>
        <v>фото</v>
      </c>
      <c r="H657" s="22"/>
    </row>
    <row r="658" spans="1:8" ht="15" x14ac:dyDescent="0.2">
      <c r="A658" s="18">
        <v>2000000025292</v>
      </c>
      <c r="B658" s="19" t="s">
        <v>1363</v>
      </c>
      <c r="C658" s="20" t="s">
        <v>1364</v>
      </c>
      <c r="D658" s="2">
        <v>5.2</v>
      </c>
      <c r="E658" s="21"/>
      <c r="F658" s="2">
        <f t="shared" si="14"/>
        <v>0</v>
      </c>
      <c r="G658" s="3" t="str">
        <f>HYPERLINK("http://tmmp-catalog.com.ua/katalog/3/16595/","фото")</f>
        <v>фото</v>
      </c>
      <c r="H658" s="22"/>
    </row>
    <row r="659" spans="1:8" ht="15" x14ac:dyDescent="0.2">
      <c r="A659" s="18">
        <v>2000000024608</v>
      </c>
      <c r="B659" s="19" t="s">
        <v>1365</v>
      </c>
      <c r="C659" s="20" t="s">
        <v>1366</v>
      </c>
      <c r="D659" s="2">
        <v>4.4000000000000004</v>
      </c>
      <c r="E659" s="21"/>
      <c r="F659" s="2">
        <f t="shared" si="14"/>
        <v>0</v>
      </c>
      <c r="G659" s="3" t="str">
        <f>HYPERLINK("http://tmmp-catalog.com.ua/katalog/3/14099/","фото")</f>
        <v>фото</v>
      </c>
      <c r="H659" s="22"/>
    </row>
    <row r="660" spans="1:8" ht="15" x14ac:dyDescent="0.2">
      <c r="A660" s="18">
        <v>2000000024615</v>
      </c>
      <c r="B660" s="19" t="s">
        <v>1367</v>
      </c>
      <c r="C660" s="20" t="s">
        <v>1368</v>
      </c>
      <c r="D660" s="2">
        <v>5.5</v>
      </c>
      <c r="E660" s="21"/>
      <c r="F660" s="2">
        <f t="shared" ref="F660:F691" si="15">cena*zakaz</f>
        <v>0</v>
      </c>
      <c r="G660" s="3" t="str">
        <f>HYPERLINK("http://tmmp-catalog.com.ua/katalog/3/14100/","фото")</f>
        <v>фото</v>
      </c>
      <c r="H660" s="22"/>
    </row>
    <row r="661" spans="1:8" ht="15" x14ac:dyDescent="0.2">
      <c r="A661" s="18">
        <v>2000000024622</v>
      </c>
      <c r="B661" s="19" t="s">
        <v>1369</v>
      </c>
      <c r="C661" s="20" t="s">
        <v>1370</v>
      </c>
      <c r="D661" s="2">
        <v>4.5999999999999996</v>
      </c>
      <c r="E661" s="21"/>
      <c r="F661" s="2">
        <f t="shared" si="15"/>
        <v>0</v>
      </c>
      <c r="G661" s="3" t="str">
        <f>HYPERLINK("http://tmmp-catalog.com.ua/katalog/3/14101/","фото")</f>
        <v>фото</v>
      </c>
      <c r="H661" s="22"/>
    </row>
    <row r="662" spans="1:8" ht="15" x14ac:dyDescent="0.2">
      <c r="A662" s="18"/>
      <c r="B662" s="19" t="s">
        <v>1371</v>
      </c>
      <c r="C662" s="20" t="s">
        <v>1372</v>
      </c>
      <c r="D662" s="2">
        <v>5.8</v>
      </c>
      <c r="E662" s="21"/>
      <c r="F662" s="2">
        <f t="shared" si="15"/>
        <v>0</v>
      </c>
      <c r="G662" s="3" t="str">
        <f>HYPERLINK("http://tmmp-catalog.com.ua/katalog/3/18095/","фото")</f>
        <v>фото</v>
      </c>
      <c r="H662" s="22"/>
    </row>
    <row r="663" spans="1:8" ht="15" x14ac:dyDescent="0.2">
      <c r="A663" s="18"/>
      <c r="B663" s="19" t="s">
        <v>1373</v>
      </c>
      <c r="C663" s="20" t="s">
        <v>1374</v>
      </c>
      <c r="D663" s="2">
        <v>10</v>
      </c>
      <c r="E663" s="21"/>
      <c r="F663" s="2">
        <f t="shared" si="15"/>
        <v>0</v>
      </c>
      <c r="G663" s="3" t="str">
        <f>HYPERLINK("http://tmmp-catalog.com.ua/katalog/3/17678/","фото")</f>
        <v>фото</v>
      </c>
      <c r="H663" s="22"/>
    </row>
    <row r="664" spans="1:8" ht="15" x14ac:dyDescent="0.2">
      <c r="A664" s="18"/>
      <c r="B664" s="19" t="s">
        <v>1375</v>
      </c>
      <c r="C664" s="20" t="s">
        <v>1376</v>
      </c>
      <c r="D664" s="2">
        <v>10.5</v>
      </c>
      <c r="E664" s="21"/>
      <c r="F664" s="2">
        <f t="shared" si="15"/>
        <v>0</v>
      </c>
      <c r="G664" s="3" t="str">
        <f>HYPERLINK("http://tmmp-catalog.com.ua/katalog/3/17677/","фото")</f>
        <v>фото</v>
      </c>
      <c r="H664" s="22"/>
    </row>
    <row r="665" spans="1:8" ht="15" x14ac:dyDescent="0.2">
      <c r="A665" s="18">
        <v>2000000024387</v>
      </c>
      <c r="B665" s="19" t="s">
        <v>1377</v>
      </c>
      <c r="C665" s="20" t="s">
        <v>1378</v>
      </c>
      <c r="D665" s="2">
        <v>5.5</v>
      </c>
      <c r="E665" s="21"/>
      <c r="F665" s="2">
        <f t="shared" si="15"/>
        <v>0</v>
      </c>
      <c r="G665" s="3" t="str">
        <f>HYPERLINK("http://tmmp-catalog.com.ua/katalog/3/14077/","фото")</f>
        <v>фото</v>
      </c>
      <c r="H665" s="22"/>
    </row>
    <row r="666" spans="1:8" ht="15" x14ac:dyDescent="0.2">
      <c r="A666" s="18">
        <v>2000000024394</v>
      </c>
      <c r="B666" s="19" t="s">
        <v>1379</v>
      </c>
      <c r="C666" s="20" t="s">
        <v>1380</v>
      </c>
      <c r="D666" s="2">
        <v>1.9</v>
      </c>
      <c r="E666" s="21"/>
      <c r="F666" s="2">
        <f t="shared" si="15"/>
        <v>0</v>
      </c>
      <c r="G666" s="3" t="str">
        <f>HYPERLINK("http://tmmp-catalog.com.ua/katalog/3/14078/","фото")</f>
        <v>фото</v>
      </c>
      <c r="H666" s="22"/>
    </row>
    <row r="667" spans="1:8" ht="15" x14ac:dyDescent="0.2">
      <c r="A667" s="18"/>
      <c r="B667" s="19" t="s">
        <v>1381</v>
      </c>
      <c r="C667" s="20" t="s">
        <v>1382</v>
      </c>
      <c r="D667" s="2">
        <v>1.75</v>
      </c>
      <c r="E667" s="21"/>
      <c r="F667" s="2">
        <f t="shared" si="15"/>
        <v>0</v>
      </c>
      <c r="G667" s="3" t="str">
        <f>HYPERLINK("http://tmmp-catalog.com.ua/katalog/3/17676/","фото")</f>
        <v>фото</v>
      </c>
      <c r="H667" s="22"/>
    </row>
    <row r="668" spans="1:8" ht="15" x14ac:dyDescent="0.2">
      <c r="A668" s="18">
        <v>1610746300103</v>
      </c>
      <c r="B668" s="19" t="s">
        <v>1383</v>
      </c>
      <c r="C668" s="20" t="s">
        <v>1384</v>
      </c>
      <c r="D668" s="2">
        <v>2.15</v>
      </c>
      <c r="E668" s="21"/>
      <c r="F668" s="2">
        <f t="shared" si="15"/>
        <v>0</v>
      </c>
      <c r="G668" s="3" t="str">
        <f>HYPERLINK("http://tmmp-catalog.com.ua/katalog/3/14079/","фото")</f>
        <v>фото</v>
      </c>
      <c r="H668" s="22"/>
    </row>
    <row r="669" spans="1:8" ht="15" x14ac:dyDescent="0.2">
      <c r="A669" s="18">
        <v>2000000024417</v>
      </c>
      <c r="B669" s="19" t="s">
        <v>1385</v>
      </c>
      <c r="C669" s="20" t="s">
        <v>1386</v>
      </c>
      <c r="D669" s="2">
        <v>6.9</v>
      </c>
      <c r="E669" s="21"/>
      <c r="F669" s="2">
        <f t="shared" si="15"/>
        <v>0</v>
      </c>
      <c r="G669" s="3" t="str">
        <f>HYPERLINK("http://tmmp-catalog.com.ua/katalog/3/14080/","фото")</f>
        <v>фото</v>
      </c>
      <c r="H669" s="22"/>
    </row>
    <row r="670" spans="1:8" ht="15" x14ac:dyDescent="0.2">
      <c r="A670" s="18">
        <v>2000000024424</v>
      </c>
      <c r="B670" s="19" t="s">
        <v>1387</v>
      </c>
      <c r="C670" s="20" t="s">
        <v>1388</v>
      </c>
      <c r="D670" s="2">
        <v>12</v>
      </c>
      <c r="E670" s="21"/>
      <c r="F670" s="2">
        <f t="shared" si="15"/>
        <v>0</v>
      </c>
      <c r="G670" s="3" t="str">
        <f>HYPERLINK("http://tmmp-catalog.com.ua/katalog/3/14081/","фото")</f>
        <v>фото</v>
      </c>
      <c r="H670" s="22"/>
    </row>
    <row r="671" spans="1:8" ht="15" x14ac:dyDescent="0.2">
      <c r="A671" s="18">
        <v>2000000027975</v>
      </c>
      <c r="B671" s="19" t="s">
        <v>1389</v>
      </c>
      <c r="C671" s="20" t="s">
        <v>1390</v>
      </c>
      <c r="D671" s="2">
        <v>19</v>
      </c>
      <c r="E671" s="21"/>
      <c r="F671" s="2">
        <f t="shared" si="15"/>
        <v>0</v>
      </c>
      <c r="G671" s="3" t="str">
        <f>HYPERLINK("http://tmmp-catalog.com.ua/katalog/4/14232/","фото")</f>
        <v>фото</v>
      </c>
      <c r="H671" s="22"/>
    </row>
    <row r="672" spans="1:8" ht="15" x14ac:dyDescent="0.2">
      <c r="A672" s="18">
        <v>2000000025247</v>
      </c>
      <c r="B672" s="19" t="s">
        <v>1391</v>
      </c>
      <c r="C672" s="20" t="s">
        <v>1392</v>
      </c>
      <c r="D672" s="2">
        <v>3.3</v>
      </c>
      <c r="E672" s="21"/>
      <c r="F672" s="2">
        <f t="shared" si="15"/>
        <v>0</v>
      </c>
      <c r="G672" s="3" t="str">
        <f>HYPERLINK("http://tmmp-catalog.com.ua/katalog/3/16505/","фото")</f>
        <v>фото</v>
      </c>
      <c r="H672" s="22"/>
    </row>
    <row r="673" spans="1:8" ht="15" x14ac:dyDescent="0.2">
      <c r="A673" s="18">
        <v>2000000024431</v>
      </c>
      <c r="B673" s="19" t="s">
        <v>1393</v>
      </c>
      <c r="C673" s="20" t="s">
        <v>1394</v>
      </c>
      <c r="D673" s="2">
        <v>4.5</v>
      </c>
      <c r="E673" s="21"/>
      <c r="F673" s="2">
        <f t="shared" si="15"/>
        <v>0</v>
      </c>
      <c r="G673" s="3" t="str">
        <f>HYPERLINK("http://tmmp-catalog.com.ua/katalog/3/14082/","фото")</f>
        <v>фото</v>
      </c>
      <c r="H673" s="22"/>
    </row>
    <row r="674" spans="1:8" ht="15" x14ac:dyDescent="0.2">
      <c r="A674" s="18">
        <v>2000000028002</v>
      </c>
      <c r="B674" s="19" t="s">
        <v>1395</v>
      </c>
      <c r="C674" s="20" t="s">
        <v>1396</v>
      </c>
      <c r="D674" s="2">
        <v>21</v>
      </c>
      <c r="E674" s="21"/>
      <c r="F674" s="2">
        <f t="shared" si="15"/>
        <v>0</v>
      </c>
      <c r="G674" s="3" t="str">
        <f>HYPERLINK("http://tmmp-catalog.com.ua/katalog/4/14235/","фото")</f>
        <v>фото</v>
      </c>
      <c r="H674" s="22"/>
    </row>
    <row r="675" spans="1:8" ht="15" x14ac:dyDescent="0.2">
      <c r="A675" s="18">
        <v>2000000028279</v>
      </c>
      <c r="B675" s="19" t="s">
        <v>1397</v>
      </c>
      <c r="C675" s="20" t="s">
        <v>1398</v>
      </c>
      <c r="D675" s="2">
        <v>1.2</v>
      </c>
      <c r="E675" s="21"/>
      <c r="F675" s="2">
        <f t="shared" si="15"/>
        <v>0</v>
      </c>
      <c r="G675" s="3" t="str">
        <f>HYPERLINK("http://tmmp-catalog.com.ua/katalog/4/17007/","фото")</f>
        <v>фото</v>
      </c>
      <c r="H675" s="22"/>
    </row>
    <row r="676" spans="1:8" ht="15" x14ac:dyDescent="0.2">
      <c r="A676" s="18">
        <v>2000000024462</v>
      </c>
      <c r="B676" s="19" t="s">
        <v>1399</v>
      </c>
      <c r="C676" s="20" t="s">
        <v>1400</v>
      </c>
      <c r="D676" s="2">
        <v>1.6</v>
      </c>
      <c r="E676" s="21"/>
      <c r="F676" s="2">
        <f t="shared" si="15"/>
        <v>0</v>
      </c>
      <c r="G676" s="3" t="str">
        <f>HYPERLINK("http://tmmp-catalog.com.ua/katalog/3/14085/","фото")</f>
        <v>фото</v>
      </c>
      <c r="H676" s="22"/>
    </row>
    <row r="677" spans="1:8" ht="15" x14ac:dyDescent="0.2">
      <c r="A677" s="18">
        <v>2000000024097</v>
      </c>
      <c r="B677" s="19" t="s">
        <v>1401</v>
      </c>
      <c r="C677" s="20" t="s">
        <v>1402</v>
      </c>
      <c r="D677" s="2">
        <v>1.45</v>
      </c>
      <c r="E677" s="21"/>
      <c r="F677" s="2">
        <f t="shared" si="15"/>
        <v>0</v>
      </c>
      <c r="G677" s="3" t="str">
        <f>HYPERLINK("http://tmmp-catalog.com.ua/katalog/3/14047/","фото")</f>
        <v>фото</v>
      </c>
      <c r="H677" s="22"/>
    </row>
    <row r="678" spans="1:8" ht="15" x14ac:dyDescent="0.2">
      <c r="A678" s="18">
        <v>2000000024486</v>
      </c>
      <c r="B678" s="19" t="s">
        <v>1403</v>
      </c>
      <c r="C678" s="20" t="s">
        <v>1404</v>
      </c>
      <c r="D678" s="2">
        <v>2.4</v>
      </c>
      <c r="E678" s="21"/>
      <c r="F678" s="2">
        <f t="shared" si="15"/>
        <v>0</v>
      </c>
      <c r="G678" s="3" t="str">
        <f>HYPERLINK("http://tmmp-catalog.com.ua/katalog/3/14087/","фото")</f>
        <v>фото</v>
      </c>
      <c r="H678" s="22"/>
    </row>
    <row r="679" spans="1:8" ht="15" x14ac:dyDescent="0.2">
      <c r="A679" s="18">
        <v>2000000024493</v>
      </c>
      <c r="B679" s="19" t="s">
        <v>1405</v>
      </c>
      <c r="C679" s="20" t="s">
        <v>1406</v>
      </c>
      <c r="D679" s="2">
        <v>1.5</v>
      </c>
      <c r="E679" s="21"/>
      <c r="F679" s="2">
        <f t="shared" si="15"/>
        <v>0</v>
      </c>
      <c r="G679" s="3" t="str">
        <f>HYPERLINK("http://tmmp-catalog.com.ua/katalog/3/14088/","фото")</f>
        <v>фото</v>
      </c>
      <c r="H679" s="22"/>
    </row>
    <row r="680" spans="1:8" ht="15" x14ac:dyDescent="0.2">
      <c r="A680" s="18">
        <v>2000000024509</v>
      </c>
      <c r="B680" s="19" t="s">
        <v>1407</v>
      </c>
      <c r="C680" s="20" t="s">
        <v>1408</v>
      </c>
      <c r="D680" s="2">
        <v>7.5</v>
      </c>
      <c r="E680" s="21"/>
      <c r="F680" s="2">
        <f t="shared" si="15"/>
        <v>0</v>
      </c>
      <c r="G680" s="3" t="str">
        <f>HYPERLINK("http://tmmp-catalog.com.ua/katalog/3/14089/","фото")</f>
        <v>фото</v>
      </c>
      <c r="H680" s="22"/>
    </row>
    <row r="681" spans="1:8" ht="15" x14ac:dyDescent="0.2">
      <c r="A681" s="18">
        <v>2000000024516</v>
      </c>
      <c r="B681" s="19" t="s">
        <v>1409</v>
      </c>
      <c r="C681" s="20" t="s">
        <v>1410</v>
      </c>
      <c r="D681" s="2">
        <v>7.5</v>
      </c>
      <c r="E681" s="21"/>
      <c r="F681" s="2">
        <f t="shared" si="15"/>
        <v>0</v>
      </c>
      <c r="G681" s="3" t="str">
        <f>HYPERLINK("http://tmmp-catalog.com.ua/katalog/3/14090/","фото")</f>
        <v>фото</v>
      </c>
      <c r="H681" s="22"/>
    </row>
    <row r="682" spans="1:8" ht="15" x14ac:dyDescent="0.2">
      <c r="A682" s="18">
        <v>2000000024882</v>
      </c>
      <c r="B682" s="19" t="s">
        <v>1411</v>
      </c>
      <c r="C682" s="20" t="s">
        <v>1412</v>
      </c>
      <c r="D682" s="2">
        <v>2.7</v>
      </c>
      <c r="E682" s="21"/>
      <c r="F682" s="2">
        <f t="shared" si="15"/>
        <v>0</v>
      </c>
      <c r="G682" s="3" t="str">
        <f>HYPERLINK("http://tmmp-catalog.com.ua/katalog/3/14127/","фото")</f>
        <v>фото</v>
      </c>
      <c r="H682" s="22"/>
    </row>
    <row r="683" spans="1:8" ht="15" x14ac:dyDescent="0.2">
      <c r="A683" s="18">
        <v>2000000028026</v>
      </c>
      <c r="B683" s="19" t="s">
        <v>1413</v>
      </c>
      <c r="C683" s="20" t="s">
        <v>1414</v>
      </c>
      <c r="D683" s="2">
        <v>11</v>
      </c>
      <c r="E683" s="21"/>
      <c r="F683" s="2">
        <f t="shared" si="15"/>
        <v>0</v>
      </c>
      <c r="G683" s="3" t="str">
        <f>HYPERLINK("http://tmmp-catalog.com.ua/katalog/4/14237/","фото")</f>
        <v>фото</v>
      </c>
      <c r="H683" s="22"/>
    </row>
    <row r="684" spans="1:8" ht="15" x14ac:dyDescent="0.2">
      <c r="A684" s="18">
        <v>2000000028934</v>
      </c>
      <c r="B684" s="19" t="s">
        <v>1415</v>
      </c>
      <c r="C684" s="20" t="s">
        <v>1416</v>
      </c>
      <c r="D684" s="2">
        <v>4.3</v>
      </c>
      <c r="E684" s="21"/>
      <c r="F684" s="2">
        <f t="shared" si="15"/>
        <v>0</v>
      </c>
      <c r="G684" s="3" t="str">
        <f>HYPERLINK("http://tmmp-catalog.com.ua/katalog/5/16881/","фото")</f>
        <v>фото</v>
      </c>
      <c r="H684" s="22"/>
    </row>
    <row r="685" spans="1:8" ht="15" x14ac:dyDescent="0.2">
      <c r="A685" s="18">
        <v>2000000028941</v>
      </c>
      <c r="B685" s="19" t="s">
        <v>1417</v>
      </c>
      <c r="C685" s="20" t="s">
        <v>1418</v>
      </c>
      <c r="D685" s="2">
        <v>1.1000000000000001</v>
      </c>
      <c r="E685" s="21"/>
      <c r="F685" s="2">
        <f t="shared" si="15"/>
        <v>0</v>
      </c>
      <c r="G685" s="3" t="str">
        <f>HYPERLINK("http://tmmp-catalog.com.ua/katalog/5/16882/","фото")</f>
        <v>фото</v>
      </c>
      <c r="H685" s="22"/>
    </row>
    <row r="686" spans="1:8" ht="15" x14ac:dyDescent="0.2">
      <c r="A686" s="18">
        <v>2000000028514</v>
      </c>
      <c r="B686" s="19" t="s">
        <v>1419</v>
      </c>
      <c r="C686" s="20" t="s">
        <v>1420</v>
      </c>
      <c r="D686" s="2">
        <v>1.7</v>
      </c>
      <c r="E686" s="21"/>
      <c r="F686" s="2">
        <f t="shared" si="15"/>
        <v>0</v>
      </c>
      <c r="G686" s="3" t="str">
        <f>HYPERLINK("http://tmmp-catalog.com.ua/katalog/5/14189/","фото")</f>
        <v>фото</v>
      </c>
      <c r="H686" s="22"/>
    </row>
    <row r="687" spans="1:8" ht="15" x14ac:dyDescent="0.2">
      <c r="A687" s="18">
        <v>2000000028521</v>
      </c>
      <c r="B687" s="19" t="s">
        <v>1421</v>
      </c>
      <c r="C687" s="20" t="s">
        <v>1422</v>
      </c>
      <c r="D687" s="2">
        <v>2</v>
      </c>
      <c r="E687" s="21"/>
      <c r="F687" s="2">
        <f t="shared" si="15"/>
        <v>0</v>
      </c>
      <c r="G687" s="3" t="str">
        <f>HYPERLINK("http://tmmp-catalog.com.ua/katalog/5/14190/","фото")</f>
        <v>фото</v>
      </c>
      <c r="H687" s="22"/>
    </row>
    <row r="688" spans="1:8" ht="15" x14ac:dyDescent="0.2">
      <c r="A688" s="18">
        <v>2000000028033</v>
      </c>
      <c r="B688" s="19" t="s">
        <v>1423</v>
      </c>
      <c r="C688" s="20" t="s">
        <v>1424</v>
      </c>
      <c r="D688" s="2">
        <v>8.6</v>
      </c>
      <c r="E688" s="21"/>
      <c r="F688" s="2">
        <f t="shared" si="15"/>
        <v>0</v>
      </c>
      <c r="G688" s="3" t="str">
        <f>HYPERLINK("http://tmmp-catalog.com.ua/katalog/4/14238/","фото")</f>
        <v>фото</v>
      </c>
      <c r="H688" s="22"/>
    </row>
    <row r="689" spans="1:8" ht="15" x14ac:dyDescent="0.2">
      <c r="A689" s="18">
        <v>2000000024110</v>
      </c>
      <c r="B689" s="19" t="s">
        <v>1425</v>
      </c>
      <c r="C689" s="20" t="s">
        <v>1426</v>
      </c>
      <c r="D689" s="2">
        <v>9.5</v>
      </c>
      <c r="E689" s="21"/>
      <c r="F689" s="2">
        <f t="shared" si="15"/>
        <v>0</v>
      </c>
      <c r="G689" s="3" t="str">
        <f>HYPERLINK("http://tmmp-catalog.com.ua/katalog/3/14049/","фото")</f>
        <v>фото</v>
      </c>
      <c r="H689" s="22"/>
    </row>
    <row r="690" spans="1:8" ht="15" x14ac:dyDescent="0.2">
      <c r="A690" s="18">
        <v>2000000028095</v>
      </c>
      <c r="B690" s="19" t="s">
        <v>1427</v>
      </c>
      <c r="C690" s="20" t="s">
        <v>1428</v>
      </c>
      <c r="D690" s="2">
        <v>0.9</v>
      </c>
      <c r="E690" s="21"/>
      <c r="F690" s="2">
        <f t="shared" si="15"/>
        <v>0</v>
      </c>
      <c r="G690" s="3" t="str">
        <f>HYPERLINK("http://tmmp-catalog.com.ua/katalog/4/14244/","фото")</f>
        <v>фото</v>
      </c>
      <c r="H690" s="22"/>
    </row>
    <row r="691" spans="1:8" ht="15" x14ac:dyDescent="0.2">
      <c r="A691" s="18">
        <v>2000000024653</v>
      </c>
      <c r="B691" s="19" t="s">
        <v>1429</v>
      </c>
      <c r="C691" s="20" t="s">
        <v>1430</v>
      </c>
      <c r="D691" s="2">
        <v>0.6</v>
      </c>
      <c r="E691" s="21"/>
      <c r="F691" s="2">
        <f t="shared" si="15"/>
        <v>0</v>
      </c>
      <c r="G691" s="3" t="str">
        <f>HYPERLINK("http://tmmp-catalog.com.ua/katalog/3/14104/","фото")</f>
        <v>фото</v>
      </c>
      <c r="H691" s="22"/>
    </row>
    <row r="692" spans="1:8" ht="15" x14ac:dyDescent="0.2">
      <c r="A692" s="18">
        <v>2000000025421</v>
      </c>
      <c r="B692" s="19" t="s">
        <v>1431</v>
      </c>
      <c r="C692" s="20" t="s">
        <v>1432</v>
      </c>
      <c r="D692" s="2">
        <v>1.6</v>
      </c>
      <c r="E692" s="21"/>
      <c r="F692" s="2">
        <f t="shared" ref="F692:F723" si="16">cena*zakaz</f>
        <v>0</v>
      </c>
      <c r="G692" s="3" t="str">
        <f>HYPERLINK("http://tmmp-catalog.com.ua/katalog/3/16891/","фото")</f>
        <v>фото</v>
      </c>
      <c r="H692" s="22"/>
    </row>
    <row r="693" spans="1:8" ht="15" x14ac:dyDescent="0.2">
      <c r="A693" s="18">
        <v>2000000024660</v>
      </c>
      <c r="B693" s="19" t="s">
        <v>1433</v>
      </c>
      <c r="C693" s="20" t="s">
        <v>1434</v>
      </c>
      <c r="D693" s="2">
        <v>3.3</v>
      </c>
      <c r="E693" s="21"/>
      <c r="F693" s="2">
        <f t="shared" si="16"/>
        <v>0</v>
      </c>
      <c r="G693" s="3" t="str">
        <f>HYPERLINK("http://tmmp-catalog.com.ua/katalog/3/14105/","фото")</f>
        <v>фото</v>
      </c>
      <c r="H693" s="22"/>
    </row>
    <row r="694" spans="1:8" ht="15" x14ac:dyDescent="0.2">
      <c r="A694" s="18"/>
      <c r="B694" s="19" t="s">
        <v>1435</v>
      </c>
      <c r="C694" s="20" t="s">
        <v>1436</v>
      </c>
      <c r="D694" s="2">
        <v>1.4</v>
      </c>
      <c r="E694" s="21"/>
      <c r="F694" s="2">
        <f t="shared" si="16"/>
        <v>0</v>
      </c>
      <c r="G694" s="3" t="str">
        <f>HYPERLINK("http://tmmp-catalog.com.ua/katalog/3/18089/","фото")</f>
        <v>фото</v>
      </c>
      <c r="H694" s="22"/>
    </row>
    <row r="695" spans="1:8" ht="15" x14ac:dyDescent="0.2">
      <c r="A695" s="18">
        <v>2000000024707</v>
      </c>
      <c r="B695" s="19" t="s">
        <v>1437</v>
      </c>
      <c r="C695" s="20" t="s">
        <v>1438</v>
      </c>
      <c r="D695" s="2">
        <v>6.5</v>
      </c>
      <c r="E695" s="21"/>
      <c r="F695" s="2">
        <f t="shared" si="16"/>
        <v>0</v>
      </c>
      <c r="G695" s="3" t="str">
        <f>HYPERLINK("http://tmmp-catalog.com.ua/katalog/3/14109/","фото")</f>
        <v>фото</v>
      </c>
      <c r="H695" s="22"/>
    </row>
    <row r="696" spans="1:8" ht="15" x14ac:dyDescent="0.2">
      <c r="A696" s="18">
        <v>2000000024714</v>
      </c>
      <c r="B696" s="19" t="s">
        <v>1439</v>
      </c>
      <c r="C696" s="20" t="s">
        <v>1440</v>
      </c>
      <c r="D696" s="2">
        <v>4</v>
      </c>
      <c r="E696" s="21"/>
      <c r="F696" s="2">
        <f t="shared" si="16"/>
        <v>0</v>
      </c>
      <c r="G696" s="3" t="str">
        <f>HYPERLINK("http://tmmp-catalog.com.ua/katalog/3/14110/","фото")</f>
        <v>фото</v>
      </c>
      <c r="H696" s="22"/>
    </row>
    <row r="697" spans="1:8" ht="15" x14ac:dyDescent="0.2">
      <c r="A697" s="18">
        <v>2000000024721</v>
      </c>
      <c r="B697" s="19" t="s">
        <v>1441</v>
      </c>
      <c r="C697" s="20" t="s">
        <v>1442</v>
      </c>
      <c r="D697" s="2">
        <v>6.5</v>
      </c>
      <c r="E697" s="21"/>
      <c r="F697" s="2">
        <f t="shared" si="16"/>
        <v>0</v>
      </c>
      <c r="G697" s="3" t="str">
        <f>HYPERLINK("http://tmmp-catalog.com.ua/katalog/3/14111/","фото")</f>
        <v>фото</v>
      </c>
      <c r="H697" s="22"/>
    </row>
    <row r="698" spans="1:8" ht="15" x14ac:dyDescent="0.2">
      <c r="A698" s="18">
        <v>2000000024738</v>
      </c>
      <c r="B698" s="19" t="s">
        <v>1443</v>
      </c>
      <c r="C698" s="20" t="s">
        <v>1444</v>
      </c>
      <c r="D698" s="2">
        <v>1</v>
      </c>
      <c r="E698" s="21"/>
      <c r="F698" s="2">
        <f t="shared" si="16"/>
        <v>0</v>
      </c>
      <c r="G698" s="3" t="str">
        <f>HYPERLINK("http://tmmp-catalog.com.ua/katalog/3/14112/","фото")</f>
        <v>фото</v>
      </c>
      <c r="H698" s="22"/>
    </row>
    <row r="699" spans="1:8" ht="15" x14ac:dyDescent="0.2">
      <c r="A699" s="18">
        <v>2000000024745</v>
      </c>
      <c r="B699" s="19" t="s">
        <v>1445</v>
      </c>
      <c r="C699" s="20" t="s">
        <v>1446</v>
      </c>
      <c r="D699" s="2">
        <v>1.4</v>
      </c>
      <c r="E699" s="21"/>
      <c r="F699" s="2">
        <f t="shared" si="16"/>
        <v>0</v>
      </c>
      <c r="G699" s="3" t="str">
        <f>HYPERLINK("http://tmmp-catalog.com.ua/katalog/3/14113/","фото")</f>
        <v>фото</v>
      </c>
      <c r="H699" s="22"/>
    </row>
    <row r="700" spans="1:8" ht="15" x14ac:dyDescent="0.2">
      <c r="A700" s="18">
        <v>2000000024752</v>
      </c>
      <c r="B700" s="19" t="s">
        <v>1447</v>
      </c>
      <c r="C700" s="20" t="s">
        <v>1448</v>
      </c>
      <c r="D700" s="2">
        <v>1.2</v>
      </c>
      <c r="E700" s="21"/>
      <c r="F700" s="2">
        <f t="shared" si="16"/>
        <v>0</v>
      </c>
      <c r="G700" s="3" t="str">
        <f>HYPERLINK("http://tmmp-catalog.com.ua/katalog/3/14114/","фото")</f>
        <v>фото</v>
      </c>
      <c r="H700" s="22"/>
    </row>
    <row r="701" spans="1:8" ht="15" x14ac:dyDescent="0.2">
      <c r="A701" s="18">
        <v>2000000028309</v>
      </c>
      <c r="B701" s="19" t="s">
        <v>1449</v>
      </c>
      <c r="C701" s="20" t="s">
        <v>1450</v>
      </c>
      <c r="D701" s="2">
        <v>0.5</v>
      </c>
      <c r="E701" s="21"/>
      <c r="F701" s="2">
        <f t="shared" si="16"/>
        <v>0</v>
      </c>
      <c r="G701" s="3" t="str">
        <f>HYPERLINK("http://tmmp-catalog.com.ua/katalog/5/14168/","фото")</f>
        <v>фото</v>
      </c>
      <c r="H701" s="22"/>
    </row>
    <row r="702" spans="1:8" ht="15" x14ac:dyDescent="0.2">
      <c r="A702" s="18"/>
      <c r="B702" s="19" t="s">
        <v>1451</v>
      </c>
      <c r="C702" s="20" t="s">
        <v>1452</v>
      </c>
      <c r="D702" s="2">
        <v>18.5</v>
      </c>
      <c r="E702" s="21"/>
      <c r="F702" s="2">
        <f t="shared" si="16"/>
        <v>0</v>
      </c>
      <c r="G702" s="3" t="str">
        <f>HYPERLINK("http://tmmp-catalog.com.ua/katalog/37/18394/","фото")</f>
        <v>фото</v>
      </c>
      <c r="H702" s="22"/>
    </row>
    <row r="703" spans="1:8" ht="15" x14ac:dyDescent="0.2">
      <c r="A703" s="18">
        <v>2000000024851</v>
      </c>
      <c r="B703" s="19" t="s">
        <v>1453</v>
      </c>
      <c r="C703" s="20" t="s">
        <v>1454</v>
      </c>
      <c r="D703" s="2">
        <v>16.5</v>
      </c>
      <c r="E703" s="21"/>
      <c r="F703" s="2">
        <f t="shared" si="16"/>
        <v>0</v>
      </c>
      <c r="G703" s="3" t="str">
        <f>HYPERLINK("http://tmmp-catalog.com.ua/katalog/3/14124/","фото")</f>
        <v>фото</v>
      </c>
      <c r="H703" s="22"/>
    </row>
    <row r="704" spans="1:8" ht="15" x14ac:dyDescent="0.2">
      <c r="A704" s="18">
        <v>2000000028118</v>
      </c>
      <c r="B704" s="19" t="s">
        <v>1455</v>
      </c>
      <c r="C704" s="20" t="s">
        <v>1456</v>
      </c>
      <c r="D704" s="2">
        <v>1</v>
      </c>
      <c r="E704" s="21"/>
      <c r="F704" s="2">
        <f t="shared" si="16"/>
        <v>0</v>
      </c>
      <c r="G704" s="3" t="str">
        <f>HYPERLINK("http://tmmp-catalog.com.ua/katalog/4/14247/","фото")</f>
        <v>фото</v>
      </c>
      <c r="H704" s="22"/>
    </row>
    <row r="705" spans="1:8" ht="15" x14ac:dyDescent="0.2">
      <c r="A705" s="18"/>
      <c r="B705" s="19" t="s">
        <v>1457</v>
      </c>
      <c r="C705" s="20" t="s">
        <v>1458</v>
      </c>
      <c r="D705" s="2">
        <v>2</v>
      </c>
      <c r="E705" s="21"/>
      <c r="F705" s="2">
        <f t="shared" si="16"/>
        <v>0</v>
      </c>
      <c r="G705" s="3" t="str">
        <f>HYPERLINK("http://tmmp-catalog.com.ua/katalog/37/18402/","фото")</f>
        <v>фото</v>
      </c>
      <c r="H705" s="22"/>
    </row>
    <row r="706" spans="1:8" ht="15" x14ac:dyDescent="0.2">
      <c r="A706" s="18">
        <v>2000000024783</v>
      </c>
      <c r="B706" s="19" t="s">
        <v>1459</v>
      </c>
      <c r="C706" s="20" t="s">
        <v>1460</v>
      </c>
      <c r="D706" s="2">
        <v>6.7</v>
      </c>
      <c r="E706" s="21"/>
      <c r="F706" s="2">
        <f t="shared" si="16"/>
        <v>0</v>
      </c>
      <c r="G706" s="3" t="str">
        <f>HYPERLINK("http://tmmp-catalog.com.ua/katalog/3/14117/","фото")</f>
        <v>фото</v>
      </c>
      <c r="H706" s="22"/>
    </row>
    <row r="707" spans="1:8" ht="15" x14ac:dyDescent="0.2">
      <c r="A707" s="18"/>
      <c r="B707" s="19" t="s">
        <v>1461</v>
      </c>
      <c r="C707" s="20" t="s">
        <v>1462</v>
      </c>
      <c r="D707" s="2">
        <v>4</v>
      </c>
      <c r="E707" s="21"/>
      <c r="F707" s="2">
        <f t="shared" si="16"/>
        <v>0</v>
      </c>
      <c r="G707" s="3" t="str">
        <f>HYPERLINK("http://tmmp-catalog.com.ua/katalog/37/18595/","фото")</f>
        <v>фото</v>
      </c>
      <c r="H707" s="22"/>
    </row>
    <row r="708" spans="1:8" ht="15" x14ac:dyDescent="0.2">
      <c r="A708" s="18"/>
      <c r="B708" s="19" t="s">
        <v>1463</v>
      </c>
      <c r="C708" s="20" t="s">
        <v>1464</v>
      </c>
      <c r="D708" s="2">
        <v>4.3</v>
      </c>
      <c r="E708" s="21"/>
      <c r="F708" s="2">
        <f t="shared" si="16"/>
        <v>0</v>
      </c>
      <c r="G708" s="3" t="str">
        <f>HYPERLINK("http://tmmp-catalog.com.ua/katalog/3/18801/","фото")</f>
        <v>фото</v>
      </c>
      <c r="H708" s="22"/>
    </row>
    <row r="709" spans="1:8" ht="15" x14ac:dyDescent="0.2">
      <c r="A709" s="18"/>
      <c r="B709" s="19" t="s">
        <v>1465</v>
      </c>
      <c r="C709" s="20" t="s">
        <v>1466</v>
      </c>
      <c r="D709" s="2">
        <v>4.8</v>
      </c>
      <c r="E709" s="21"/>
      <c r="F709" s="2">
        <f t="shared" si="16"/>
        <v>0</v>
      </c>
      <c r="G709" s="3" t="str">
        <f>HYPERLINK("http://tmmp-catalog.com.ua/katalog/3/17056/","фото")</f>
        <v>фото</v>
      </c>
      <c r="H709" s="22"/>
    </row>
    <row r="710" spans="1:8" ht="15" x14ac:dyDescent="0.2">
      <c r="A710" s="18">
        <v>2000000025384</v>
      </c>
      <c r="B710" s="19" t="s">
        <v>1467</v>
      </c>
      <c r="C710" s="20" t="s">
        <v>1468</v>
      </c>
      <c r="D710" s="2">
        <v>4</v>
      </c>
      <c r="E710" s="21"/>
      <c r="F710" s="2">
        <f t="shared" si="16"/>
        <v>0</v>
      </c>
      <c r="G710" s="3" t="str">
        <f>HYPERLINK("http://tmmp-catalog.com.ua/katalog/3/16885/","фото")</f>
        <v>фото</v>
      </c>
      <c r="H710" s="22"/>
    </row>
    <row r="711" spans="1:8" ht="15" x14ac:dyDescent="0.2">
      <c r="A711" s="18">
        <v>2000000024837</v>
      </c>
      <c r="B711" s="19" t="s">
        <v>1469</v>
      </c>
      <c r="C711" s="20" t="s">
        <v>1470</v>
      </c>
      <c r="D711" s="2">
        <v>1.3</v>
      </c>
      <c r="E711" s="21"/>
      <c r="F711" s="2">
        <f t="shared" si="16"/>
        <v>0</v>
      </c>
      <c r="G711" s="3" t="str">
        <f>HYPERLINK("http://tmmp-catalog.com.ua/katalog/3/14122/","фото")</f>
        <v>фото</v>
      </c>
      <c r="H711" s="22"/>
    </row>
    <row r="712" spans="1:8" ht="15" x14ac:dyDescent="0.2">
      <c r="A712" s="18">
        <v>2000000024844</v>
      </c>
      <c r="B712" s="19" t="s">
        <v>1471</v>
      </c>
      <c r="C712" s="20" t="s">
        <v>1472</v>
      </c>
      <c r="D712" s="2">
        <v>2</v>
      </c>
      <c r="E712" s="21"/>
      <c r="F712" s="2">
        <f t="shared" si="16"/>
        <v>0</v>
      </c>
      <c r="G712" s="3" t="str">
        <f>HYPERLINK("http://tmmp-catalog.com.ua/katalog/3/14123/","фото")</f>
        <v>фото</v>
      </c>
      <c r="H712" s="22"/>
    </row>
    <row r="713" spans="1:8" ht="15" x14ac:dyDescent="0.2">
      <c r="A713" s="18">
        <v>2000000028828</v>
      </c>
      <c r="B713" s="19" t="s">
        <v>1473</v>
      </c>
      <c r="C713" s="20" t="s">
        <v>1474</v>
      </c>
      <c r="D713" s="2">
        <v>2.5</v>
      </c>
      <c r="E713" s="21"/>
      <c r="F713" s="2">
        <f t="shared" si="16"/>
        <v>0</v>
      </c>
      <c r="G713" s="3" t="str">
        <f>HYPERLINK("http://tmmp-catalog.com.ua/katalog/5/16870/","фото")</f>
        <v>фото</v>
      </c>
      <c r="H713" s="22"/>
    </row>
    <row r="714" spans="1:8" ht="15" x14ac:dyDescent="0.2">
      <c r="A714" s="18">
        <v>2000000028125</v>
      </c>
      <c r="B714" s="19" t="s">
        <v>1475</v>
      </c>
      <c r="C714" s="20" t="s">
        <v>1476</v>
      </c>
      <c r="D714" s="2">
        <v>3.6</v>
      </c>
      <c r="E714" s="21"/>
      <c r="F714" s="2">
        <f t="shared" si="16"/>
        <v>0</v>
      </c>
      <c r="G714" s="3" t="str">
        <f>HYPERLINK("http://tmmp-catalog.com.ua/katalog/4/14248/","фото")</f>
        <v>фото</v>
      </c>
      <c r="H714" s="22"/>
    </row>
    <row r="715" spans="1:8" ht="15" x14ac:dyDescent="0.2">
      <c r="A715" s="18">
        <v>2000000025407</v>
      </c>
      <c r="B715" s="19" t="s">
        <v>1477</v>
      </c>
      <c r="C715" s="20" t="s">
        <v>1478</v>
      </c>
      <c r="D715" s="2">
        <v>1.6</v>
      </c>
      <c r="E715" s="21"/>
      <c r="F715" s="2">
        <f t="shared" si="16"/>
        <v>0</v>
      </c>
      <c r="G715" s="3" t="str">
        <f>HYPERLINK("http://tmmp-catalog.com.ua/katalog/3/16887/","фото")</f>
        <v>фото</v>
      </c>
      <c r="H715" s="22"/>
    </row>
    <row r="716" spans="1:8" ht="15" x14ac:dyDescent="0.2">
      <c r="A716" s="18"/>
      <c r="B716" s="19" t="s">
        <v>1479</v>
      </c>
      <c r="C716" s="20" t="s">
        <v>1480</v>
      </c>
      <c r="D716" s="2">
        <v>0.1</v>
      </c>
      <c r="E716" s="21"/>
      <c r="F716" s="2">
        <f t="shared" si="16"/>
        <v>0</v>
      </c>
      <c r="G716" s="3" t="str">
        <f>HYPERLINK("http://tmmp-catalog.com.ua/katalog/3/18802/","фото")</f>
        <v>фото</v>
      </c>
      <c r="H716" s="22"/>
    </row>
    <row r="717" spans="1:8" ht="15" x14ac:dyDescent="0.2">
      <c r="A717" s="18"/>
      <c r="B717" s="19" t="s">
        <v>1481</v>
      </c>
      <c r="C717" s="20" t="s">
        <v>1482</v>
      </c>
      <c r="D717" s="2">
        <v>0.1</v>
      </c>
      <c r="E717" s="21"/>
      <c r="F717" s="2">
        <f t="shared" si="16"/>
        <v>0</v>
      </c>
      <c r="G717" s="3" t="str">
        <f>HYPERLINK("http://tmmp-catalog.com.ua/katalog/3/18896/","фото")</f>
        <v>фото</v>
      </c>
      <c r="H717" s="22"/>
    </row>
    <row r="718" spans="1:8" ht="15" x14ac:dyDescent="0.2">
      <c r="A718" s="18">
        <v>2000000028880</v>
      </c>
      <c r="B718" s="19" t="s">
        <v>1483</v>
      </c>
      <c r="C718" s="20" t="s">
        <v>1484</v>
      </c>
      <c r="D718" s="2">
        <v>0.15</v>
      </c>
      <c r="E718" s="21"/>
      <c r="F718" s="2">
        <f t="shared" si="16"/>
        <v>0</v>
      </c>
      <c r="G718" s="3" t="str">
        <f>HYPERLINK("http://tmmp-catalog.com.ua/katalog/5/16876/","фото")</f>
        <v>фото</v>
      </c>
      <c r="H718" s="22"/>
    </row>
    <row r="719" spans="1:8" ht="15" x14ac:dyDescent="0.2">
      <c r="A719" s="18">
        <v>2000000028576</v>
      </c>
      <c r="B719" s="19" t="s">
        <v>1485</v>
      </c>
      <c r="C719" s="20" t="s">
        <v>1486</v>
      </c>
      <c r="D719" s="2">
        <v>0.2</v>
      </c>
      <c r="E719" s="21"/>
      <c r="F719" s="2">
        <f t="shared" si="16"/>
        <v>0</v>
      </c>
      <c r="G719" s="3" t="str">
        <f>HYPERLINK("http://tmmp-catalog.com.ua/katalog/5/14196/","фото")</f>
        <v>фото</v>
      </c>
      <c r="H719" s="22"/>
    </row>
    <row r="720" spans="1:8" ht="15" x14ac:dyDescent="0.2">
      <c r="A720" s="18">
        <v>2000000028583</v>
      </c>
      <c r="B720" s="19" t="s">
        <v>1487</v>
      </c>
      <c r="C720" s="20" t="s">
        <v>1488</v>
      </c>
      <c r="D720" s="2">
        <v>0.2</v>
      </c>
      <c r="E720" s="21"/>
      <c r="F720" s="2">
        <f t="shared" si="16"/>
        <v>0</v>
      </c>
      <c r="G720" s="3" t="str">
        <f>HYPERLINK("http://tmmp-catalog.com.ua/katalog/5/14197/","фото")</f>
        <v>фото</v>
      </c>
      <c r="H720" s="22"/>
    </row>
    <row r="721" spans="1:8" ht="15" x14ac:dyDescent="0.2">
      <c r="A721" s="18">
        <v>2000000028910</v>
      </c>
      <c r="B721" s="19" t="s">
        <v>1489</v>
      </c>
      <c r="C721" s="20" t="s">
        <v>1490</v>
      </c>
      <c r="D721" s="2">
        <v>0.15</v>
      </c>
      <c r="E721" s="21"/>
      <c r="F721" s="2">
        <f t="shared" si="16"/>
        <v>0</v>
      </c>
      <c r="G721" s="3" t="str">
        <f>HYPERLINK("http://tmmp-catalog.com.ua/katalog/5/16879/","фото")</f>
        <v>фото</v>
      </c>
      <c r="H721" s="22"/>
    </row>
    <row r="722" spans="1:8" ht="15" x14ac:dyDescent="0.2">
      <c r="A722" s="18">
        <v>2000000028040</v>
      </c>
      <c r="B722" s="19" t="s">
        <v>1491</v>
      </c>
      <c r="C722" s="20" t="s">
        <v>1492</v>
      </c>
      <c r="D722" s="2">
        <v>1.3</v>
      </c>
      <c r="E722" s="21"/>
      <c r="F722" s="2">
        <f t="shared" si="16"/>
        <v>0</v>
      </c>
      <c r="G722" s="3" t="str">
        <f>HYPERLINK("http://tmmp-catalog.com.ua/katalog/4/14239/","фото")</f>
        <v>фото</v>
      </c>
      <c r="H722" s="22"/>
    </row>
    <row r="723" spans="1:8" ht="15" x14ac:dyDescent="0.2">
      <c r="A723" s="18">
        <v>2000000028057</v>
      </c>
      <c r="B723" s="19" t="s">
        <v>1493</v>
      </c>
      <c r="C723" s="20" t="s">
        <v>1494</v>
      </c>
      <c r="D723" s="2">
        <v>1.1000000000000001</v>
      </c>
      <c r="E723" s="21"/>
      <c r="F723" s="2">
        <f t="shared" si="16"/>
        <v>0</v>
      </c>
      <c r="G723" s="3" t="str">
        <f>HYPERLINK("http://tmmp-catalog.com.ua/katalog/4/14240/","фото")</f>
        <v>фото</v>
      </c>
      <c r="H723" s="22"/>
    </row>
    <row r="724" spans="1:8" ht="15" x14ac:dyDescent="0.2">
      <c r="A724" s="18">
        <v>2000000028064</v>
      </c>
      <c r="B724" s="19" t="s">
        <v>1495</v>
      </c>
      <c r="C724" s="20" t="s">
        <v>1496</v>
      </c>
      <c r="D724" s="2">
        <v>1.3</v>
      </c>
      <c r="E724" s="21"/>
      <c r="F724" s="2">
        <f t="shared" ref="F724:F755" si="17">cena*zakaz</f>
        <v>0</v>
      </c>
      <c r="G724" s="3" t="str">
        <f>HYPERLINK("http://tmmp-catalog.com.ua/katalog/4/14241/","фото")</f>
        <v>фото</v>
      </c>
      <c r="H724" s="22"/>
    </row>
    <row r="725" spans="1:8" ht="15" x14ac:dyDescent="0.2">
      <c r="A725" s="18">
        <v>2000000028248</v>
      </c>
      <c r="B725" s="19" t="s">
        <v>1497</v>
      </c>
      <c r="C725" s="20" t="s">
        <v>1498</v>
      </c>
      <c r="D725" s="2">
        <v>1.1000000000000001</v>
      </c>
      <c r="E725" s="21"/>
      <c r="F725" s="2">
        <f t="shared" si="17"/>
        <v>0</v>
      </c>
      <c r="G725" s="3" t="str">
        <f>HYPERLINK("http://tmmp-catalog.com.ua/katalog/4/16602/","фото")</f>
        <v>фото</v>
      </c>
      <c r="H725" s="22"/>
    </row>
    <row r="726" spans="1:8" ht="15" x14ac:dyDescent="0.2">
      <c r="A726" s="18"/>
      <c r="B726" s="19" t="s">
        <v>1499</v>
      </c>
      <c r="C726" s="20" t="s">
        <v>1500</v>
      </c>
      <c r="D726" s="2">
        <v>0.9</v>
      </c>
      <c r="E726" s="21"/>
      <c r="F726" s="2">
        <f t="shared" si="17"/>
        <v>0</v>
      </c>
      <c r="G726" s="3" t="str">
        <f>HYPERLINK("http://tmmp-catalog.com.ua/katalog/37/18470/","фото")</f>
        <v>фото</v>
      </c>
      <c r="H726" s="22"/>
    </row>
    <row r="727" spans="1:8" ht="15" x14ac:dyDescent="0.2">
      <c r="A727" s="18">
        <v>2000000028538</v>
      </c>
      <c r="B727" s="19" t="s">
        <v>1501</v>
      </c>
      <c r="C727" s="20" t="s">
        <v>1502</v>
      </c>
      <c r="D727" s="2">
        <v>1.6</v>
      </c>
      <c r="E727" s="21"/>
      <c r="F727" s="2">
        <f t="shared" si="17"/>
        <v>0</v>
      </c>
      <c r="G727" s="3" t="str">
        <f>HYPERLINK("http://tmmp-catalog.com.ua/katalog/5/14192/","фото")</f>
        <v>фото</v>
      </c>
      <c r="H727" s="22"/>
    </row>
    <row r="728" spans="1:8" ht="15" x14ac:dyDescent="0.2">
      <c r="A728" s="18">
        <v>2000000028545</v>
      </c>
      <c r="B728" s="19" t="s">
        <v>1503</v>
      </c>
      <c r="C728" s="20" t="s">
        <v>1504</v>
      </c>
      <c r="D728" s="2">
        <v>1.3</v>
      </c>
      <c r="E728" s="21"/>
      <c r="F728" s="2">
        <f t="shared" si="17"/>
        <v>0</v>
      </c>
      <c r="G728" s="3" t="str">
        <f>HYPERLINK("http://tmmp-catalog.com.ua/katalog/5/14193/","фото")</f>
        <v>фото</v>
      </c>
      <c r="H728" s="22"/>
    </row>
    <row r="729" spans="1:8" ht="15" x14ac:dyDescent="0.2">
      <c r="A729" s="18">
        <v>2000000028552</v>
      </c>
      <c r="B729" s="19" t="s">
        <v>1505</v>
      </c>
      <c r="C729" s="20" t="s">
        <v>1506</v>
      </c>
      <c r="D729" s="2">
        <v>1.1000000000000001</v>
      </c>
      <c r="E729" s="21"/>
      <c r="F729" s="2">
        <f t="shared" si="17"/>
        <v>0</v>
      </c>
      <c r="G729" s="3" t="str">
        <f>HYPERLINK("http://tmmp-catalog.com.ua/katalog/5/14194/","фото")</f>
        <v>фото</v>
      </c>
      <c r="H729" s="22"/>
    </row>
    <row r="730" spans="1:8" ht="15" x14ac:dyDescent="0.2">
      <c r="A730" s="18">
        <v>2000000028569</v>
      </c>
      <c r="B730" s="19" t="s">
        <v>1507</v>
      </c>
      <c r="C730" s="20" t="s">
        <v>1508</v>
      </c>
      <c r="D730" s="2">
        <v>1.1000000000000001</v>
      </c>
      <c r="E730" s="21"/>
      <c r="F730" s="2">
        <f t="shared" si="17"/>
        <v>0</v>
      </c>
      <c r="G730" s="3" t="str">
        <f>HYPERLINK("http://tmmp-catalog.com.ua/katalog/5/14195/","фото")</f>
        <v>фото</v>
      </c>
      <c r="H730" s="22"/>
    </row>
    <row r="731" spans="1:8" ht="15" x14ac:dyDescent="0.2">
      <c r="A731" s="18">
        <v>2000000028620</v>
      </c>
      <c r="B731" s="19" t="s">
        <v>1509</v>
      </c>
      <c r="C731" s="20" t="s">
        <v>1510</v>
      </c>
      <c r="D731" s="2">
        <v>0.5</v>
      </c>
      <c r="E731" s="21"/>
      <c r="F731" s="2">
        <f t="shared" si="17"/>
        <v>0</v>
      </c>
      <c r="G731" s="3" t="str">
        <f>HYPERLINK("http://tmmp-catalog.com.ua/katalog/5/16873/","фото")</f>
        <v>фото</v>
      </c>
      <c r="H731" s="22"/>
    </row>
    <row r="732" spans="1:8" ht="15" x14ac:dyDescent="0.2">
      <c r="A732" s="18"/>
      <c r="B732" s="19" t="s">
        <v>1511</v>
      </c>
      <c r="C732" s="20" t="s">
        <v>1512</v>
      </c>
      <c r="D732" s="2">
        <v>0.2</v>
      </c>
      <c r="E732" s="21"/>
      <c r="F732" s="2">
        <f t="shared" si="17"/>
        <v>0</v>
      </c>
      <c r="G732" s="3" t="str">
        <f>HYPERLINK("http://tmmp-catalog.com.ua/katalog/3/18680/","фото")</f>
        <v>фото</v>
      </c>
      <c r="H732" s="22"/>
    </row>
    <row r="733" spans="1:8" ht="15" x14ac:dyDescent="0.2">
      <c r="A733" s="18">
        <v>2000000028668</v>
      </c>
      <c r="B733" s="19" t="s">
        <v>1513</v>
      </c>
      <c r="C733" s="20" t="s">
        <v>1514</v>
      </c>
      <c r="D733" s="2">
        <v>0.5</v>
      </c>
      <c r="E733" s="21"/>
      <c r="F733" s="2">
        <f t="shared" si="17"/>
        <v>0</v>
      </c>
      <c r="G733" s="3" t="str">
        <f>HYPERLINK("http://tmmp-catalog.com.ua/katalog/5/14205/","фото")</f>
        <v>фото</v>
      </c>
      <c r="H733" s="22"/>
    </row>
    <row r="734" spans="1:8" ht="15" x14ac:dyDescent="0.2">
      <c r="A734" s="18">
        <v>2000000024899</v>
      </c>
      <c r="B734" s="19" t="s">
        <v>1515</v>
      </c>
      <c r="C734" s="20" t="s">
        <v>1516</v>
      </c>
      <c r="D734" s="2">
        <v>0.45</v>
      </c>
      <c r="E734" s="21"/>
      <c r="F734" s="2">
        <f t="shared" si="17"/>
        <v>0</v>
      </c>
      <c r="G734" s="3" t="str">
        <f>HYPERLINK("http://tmmp-catalog.com.ua/katalog/3/14128/","фото")</f>
        <v>фото</v>
      </c>
      <c r="H734" s="22"/>
    </row>
    <row r="735" spans="1:8" ht="15" x14ac:dyDescent="0.2">
      <c r="A735" s="18">
        <v>2000000028163</v>
      </c>
      <c r="B735" s="19" t="s">
        <v>1517</v>
      </c>
      <c r="C735" s="20" t="s">
        <v>1518</v>
      </c>
      <c r="D735" s="2">
        <v>6</v>
      </c>
      <c r="E735" s="21"/>
      <c r="F735" s="2">
        <f t="shared" si="17"/>
        <v>0</v>
      </c>
      <c r="G735" s="3" t="str">
        <f>HYPERLINK("http://tmmp-catalog.com.ua/katalog/4/14252/","фото")</f>
        <v>фото</v>
      </c>
      <c r="H735" s="22"/>
    </row>
    <row r="736" spans="1:8" ht="15" x14ac:dyDescent="0.2">
      <c r="A736" s="18">
        <v>2000000024905</v>
      </c>
      <c r="B736" s="19" t="s">
        <v>1519</v>
      </c>
      <c r="C736" s="20" t="s">
        <v>1520</v>
      </c>
      <c r="D736" s="2">
        <v>0.6</v>
      </c>
      <c r="E736" s="21"/>
      <c r="F736" s="2">
        <f t="shared" si="17"/>
        <v>0</v>
      </c>
      <c r="G736" s="3" t="str">
        <f>HYPERLINK("http://tmmp-catalog.com.ua/katalog/3/14129/","фото")</f>
        <v>фото</v>
      </c>
      <c r="H736" s="22"/>
    </row>
    <row r="737" spans="1:8" ht="15" x14ac:dyDescent="0.2">
      <c r="A737" s="18"/>
      <c r="B737" s="19" t="s">
        <v>1521</v>
      </c>
      <c r="C737" s="20" t="s">
        <v>1522</v>
      </c>
      <c r="D737" s="2">
        <v>4.3</v>
      </c>
      <c r="E737" s="21"/>
      <c r="F737" s="2">
        <f t="shared" si="17"/>
        <v>0</v>
      </c>
      <c r="G737" s="3" t="str">
        <f>HYPERLINK("http://tmmp-catalog.com.ua/katalog/3/17031/","фото")</f>
        <v>фото</v>
      </c>
      <c r="H737" s="22"/>
    </row>
    <row r="738" spans="1:8" ht="15" x14ac:dyDescent="0.2">
      <c r="A738" s="18">
        <v>2000000024912</v>
      </c>
      <c r="B738" s="19" t="s">
        <v>1523</v>
      </c>
      <c r="C738" s="20" t="s">
        <v>1524</v>
      </c>
      <c r="D738" s="2">
        <v>2.1</v>
      </c>
      <c r="E738" s="21"/>
      <c r="F738" s="2">
        <f t="shared" si="17"/>
        <v>0</v>
      </c>
      <c r="G738" s="3" t="str">
        <f>HYPERLINK("http://tmmp-catalog.com.ua/katalog/3/14130/","фото")</f>
        <v>фото</v>
      </c>
      <c r="H738" s="22"/>
    </row>
    <row r="739" spans="1:8" ht="15" x14ac:dyDescent="0.2">
      <c r="A739" s="18"/>
      <c r="B739" s="19" t="s">
        <v>1525</v>
      </c>
      <c r="C739" s="20" t="s">
        <v>1526</v>
      </c>
      <c r="D739" s="2">
        <v>3.9</v>
      </c>
      <c r="E739" s="21"/>
      <c r="F739" s="2">
        <f t="shared" si="17"/>
        <v>0</v>
      </c>
      <c r="G739" s="3" t="str">
        <f>HYPERLINK("http://tmmp-catalog.com.ua/katalog/37/18492/","фото")</f>
        <v>фото</v>
      </c>
      <c r="H739" s="22"/>
    </row>
    <row r="740" spans="1:8" ht="15" x14ac:dyDescent="0.2">
      <c r="A740" s="18">
        <v>2000000028170</v>
      </c>
      <c r="B740" s="19" t="s">
        <v>1527</v>
      </c>
      <c r="C740" s="20" t="s">
        <v>1528</v>
      </c>
      <c r="D740" s="2">
        <v>1.5</v>
      </c>
      <c r="E740" s="21"/>
      <c r="F740" s="2">
        <f t="shared" si="17"/>
        <v>0</v>
      </c>
      <c r="G740" s="3" t="str">
        <f>HYPERLINK("http://tmmp-catalog.com.ua/katalog/4/14253/","фото")</f>
        <v>фото</v>
      </c>
      <c r="H740" s="22"/>
    </row>
    <row r="741" spans="1:8" ht="15" x14ac:dyDescent="0.2">
      <c r="A741" s="18">
        <v>2000000024950</v>
      </c>
      <c r="B741" s="19" t="s">
        <v>1529</v>
      </c>
      <c r="C741" s="20" t="s">
        <v>1530</v>
      </c>
      <c r="D741" s="2">
        <v>3.3</v>
      </c>
      <c r="E741" s="21"/>
      <c r="F741" s="2">
        <f t="shared" si="17"/>
        <v>0</v>
      </c>
      <c r="G741" s="3" t="str">
        <f>HYPERLINK("http://tmmp-catalog.com.ua/katalog/3/14134/","фото")</f>
        <v>фото</v>
      </c>
      <c r="H741" s="22"/>
    </row>
    <row r="742" spans="1:8" ht="15" x14ac:dyDescent="0.2">
      <c r="A742" s="18">
        <v>2000000025391</v>
      </c>
      <c r="B742" s="19" t="s">
        <v>1531</v>
      </c>
      <c r="C742" s="20" t="s">
        <v>1532</v>
      </c>
      <c r="D742" s="2">
        <v>0.7</v>
      </c>
      <c r="E742" s="21"/>
      <c r="F742" s="2">
        <f t="shared" si="17"/>
        <v>0</v>
      </c>
      <c r="G742" s="3" t="str">
        <f>HYPERLINK("http://tmmp-catalog.com.ua/katalog/3/16886/","фото")</f>
        <v>фото</v>
      </c>
      <c r="H742" s="22"/>
    </row>
    <row r="743" spans="1:8" ht="15" x14ac:dyDescent="0.2">
      <c r="A743" s="18">
        <v>2000000024967</v>
      </c>
      <c r="B743" s="19" t="s">
        <v>1533</v>
      </c>
      <c r="C743" s="20" t="s">
        <v>1534</v>
      </c>
      <c r="D743" s="2">
        <v>0.65</v>
      </c>
      <c r="E743" s="21"/>
      <c r="F743" s="2">
        <f t="shared" si="17"/>
        <v>0</v>
      </c>
      <c r="G743" s="3" t="str">
        <f>HYPERLINK("http://tmmp-catalog.com.ua/katalog/3/14135/","фото")</f>
        <v>фото</v>
      </c>
      <c r="H743" s="22"/>
    </row>
    <row r="744" spans="1:8" ht="15" x14ac:dyDescent="0.2">
      <c r="A744" s="18">
        <v>2000000024974</v>
      </c>
      <c r="B744" s="19" t="s">
        <v>1535</v>
      </c>
      <c r="C744" s="20" t="s">
        <v>1536</v>
      </c>
      <c r="D744" s="2">
        <v>0.45</v>
      </c>
      <c r="E744" s="21"/>
      <c r="F744" s="2">
        <f t="shared" si="17"/>
        <v>0</v>
      </c>
      <c r="G744" s="3" t="str">
        <f>HYPERLINK("http://tmmp-catalog.com.ua/katalog/3/14136/","фото")</f>
        <v>фото</v>
      </c>
      <c r="H744" s="22"/>
    </row>
    <row r="745" spans="1:8" ht="15" x14ac:dyDescent="0.2">
      <c r="A745" s="18">
        <v>2000000025438</v>
      </c>
      <c r="B745" s="19" t="s">
        <v>1537</v>
      </c>
      <c r="C745" s="20" t="s">
        <v>1538</v>
      </c>
      <c r="D745" s="2">
        <v>1.1000000000000001</v>
      </c>
      <c r="E745" s="21"/>
      <c r="F745" s="2">
        <f t="shared" si="17"/>
        <v>0</v>
      </c>
      <c r="G745" s="3" t="str">
        <f>HYPERLINK("http://tmmp-catalog.com.ua/katalog/3/16892/","фото")</f>
        <v>фото</v>
      </c>
      <c r="H745" s="22"/>
    </row>
    <row r="746" spans="1:8" ht="15" x14ac:dyDescent="0.2">
      <c r="A746" s="18">
        <v>2000000028088</v>
      </c>
      <c r="B746" s="19" t="s">
        <v>1539</v>
      </c>
      <c r="C746" s="20" t="s">
        <v>1540</v>
      </c>
      <c r="D746" s="2">
        <v>0.9</v>
      </c>
      <c r="E746" s="21"/>
      <c r="F746" s="2">
        <f t="shared" si="17"/>
        <v>0</v>
      </c>
      <c r="G746" s="3" t="str">
        <f>HYPERLINK("http://tmmp-catalog.com.ua/katalog/4/14243/","фото")</f>
        <v>фото</v>
      </c>
      <c r="H746" s="22"/>
    </row>
    <row r="747" spans="1:8" ht="15" x14ac:dyDescent="0.2">
      <c r="A747" s="18">
        <v>2000000028453</v>
      </c>
      <c r="B747" s="19" t="s">
        <v>1541</v>
      </c>
      <c r="C747" s="20" t="s">
        <v>1542</v>
      </c>
      <c r="D747" s="2">
        <v>1</v>
      </c>
      <c r="E747" s="21"/>
      <c r="F747" s="2">
        <f t="shared" si="17"/>
        <v>0</v>
      </c>
      <c r="G747" s="3" t="str">
        <f>HYPERLINK("http://tmmp-catalog.com.ua/katalog/5/14183/","фото")</f>
        <v>фото</v>
      </c>
      <c r="H747" s="22"/>
    </row>
    <row r="748" spans="1:8" ht="15" x14ac:dyDescent="0.2">
      <c r="A748" s="18">
        <v>2000000024981</v>
      </c>
      <c r="B748" s="19" t="s">
        <v>1543</v>
      </c>
      <c r="C748" s="20" t="s">
        <v>1544</v>
      </c>
      <c r="D748" s="2">
        <v>1.25</v>
      </c>
      <c r="E748" s="21"/>
      <c r="F748" s="2">
        <f t="shared" si="17"/>
        <v>0</v>
      </c>
      <c r="G748" s="3" t="str">
        <f>HYPERLINK("http://tmmp-catalog.com.ua/katalog/3/14137/","фото")</f>
        <v>фото</v>
      </c>
      <c r="H748" s="22"/>
    </row>
    <row r="749" spans="1:8" ht="15" x14ac:dyDescent="0.2">
      <c r="A749" s="18">
        <v>2000000007953</v>
      </c>
      <c r="B749" s="19" t="s">
        <v>1545</v>
      </c>
      <c r="C749" s="20" t="s">
        <v>1546</v>
      </c>
      <c r="D749" s="2">
        <v>6.5</v>
      </c>
      <c r="E749" s="21"/>
      <c r="F749" s="2">
        <f t="shared" si="17"/>
        <v>0</v>
      </c>
      <c r="G749" s="3" t="str">
        <f>HYPERLINK("http://tmmp-catalog.com.ua/katalog/13/15983/","фото")</f>
        <v>фото</v>
      </c>
      <c r="H749" s="22"/>
    </row>
    <row r="750" spans="1:8" ht="15" x14ac:dyDescent="0.2">
      <c r="A750" s="18">
        <v>2000000007960</v>
      </c>
      <c r="B750" s="19" t="s">
        <v>1547</v>
      </c>
      <c r="C750" s="20" t="s">
        <v>1548</v>
      </c>
      <c r="D750" s="2">
        <v>6.5</v>
      </c>
      <c r="E750" s="21"/>
      <c r="F750" s="2">
        <f t="shared" si="17"/>
        <v>0</v>
      </c>
      <c r="G750" s="3" t="str">
        <f>HYPERLINK("http://tmmp-catalog.com.ua/katalog/13/15984/","фото")</f>
        <v>фото</v>
      </c>
      <c r="H750" s="22"/>
    </row>
    <row r="751" spans="1:8" ht="15" x14ac:dyDescent="0.2">
      <c r="A751" s="18">
        <v>2000000024998</v>
      </c>
      <c r="B751" s="19" t="s">
        <v>1549</v>
      </c>
      <c r="C751" s="20" t="s">
        <v>1550</v>
      </c>
      <c r="D751" s="2">
        <v>18</v>
      </c>
      <c r="E751" s="21"/>
      <c r="F751" s="2">
        <f t="shared" si="17"/>
        <v>0</v>
      </c>
      <c r="G751" s="3" t="str">
        <f>HYPERLINK("http://tmmp-catalog.com.ua/katalog/3/14140/","фото")</f>
        <v>фото</v>
      </c>
      <c r="H751" s="22"/>
    </row>
    <row r="752" spans="1:8" ht="15" x14ac:dyDescent="0.2">
      <c r="A752" s="18">
        <v>2000000028675</v>
      </c>
      <c r="B752" s="19" t="s">
        <v>1551</v>
      </c>
      <c r="C752" s="20" t="s">
        <v>1552</v>
      </c>
      <c r="D752" s="2">
        <v>14.5</v>
      </c>
      <c r="E752" s="21"/>
      <c r="F752" s="2">
        <f t="shared" si="17"/>
        <v>0</v>
      </c>
      <c r="G752" s="3" t="str">
        <f>HYPERLINK("http://tmmp-catalog.com.ua/katalog/5/14206/","фото")</f>
        <v>фото</v>
      </c>
      <c r="H752" s="22"/>
    </row>
    <row r="753" spans="1:8" ht="15" x14ac:dyDescent="0.2">
      <c r="A753" s="18">
        <v>2000000025018</v>
      </c>
      <c r="B753" s="19" t="s">
        <v>1553</v>
      </c>
      <c r="C753" s="20" t="s">
        <v>1554</v>
      </c>
      <c r="D753" s="2">
        <v>5.4</v>
      </c>
      <c r="E753" s="21"/>
      <c r="F753" s="2">
        <f t="shared" si="17"/>
        <v>0</v>
      </c>
      <c r="G753" s="3" t="str">
        <f>HYPERLINK("http://tmmp-catalog.com.ua/katalog/3/14142/","фото")</f>
        <v>фото</v>
      </c>
      <c r="H753" s="22"/>
    </row>
    <row r="754" spans="1:8" ht="15" x14ac:dyDescent="0.2">
      <c r="A754" s="18">
        <v>2000000025025</v>
      </c>
      <c r="B754" s="19" t="s">
        <v>1555</v>
      </c>
      <c r="C754" s="20" t="s">
        <v>1556</v>
      </c>
      <c r="D754" s="2">
        <v>8.5</v>
      </c>
      <c r="E754" s="21"/>
      <c r="F754" s="2">
        <f t="shared" si="17"/>
        <v>0</v>
      </c>
      <c r="G754" s="3" t="str">
        <f>HYPERLINK("http://tmmp-catalog.com.ua/katalog/3/14143/","фото")</f>
        <v>фото</v>
      </c>
      <c r="H754" s="22"/>
    </row>
    <row r="755" spans="1:8" ht="15" x14ac:dyDescent="0.2">
      <c r="A755" s="18">
        <v>2000000025032</v>
      </c>
      <c r="B755" s="19" t="s">
        <v>1557</v>
      </c>
      <c r="C755" s="20" t="s">
        <v>1558</v>
      </c>
      <c r="D755" s="2">
        <v>14</v>
      </c>
      <c r="E755" s="21"/>
      <c r="F755" s="2">
        <f t="shared" si="17"/>
        <v>0</v>
      </c>
      <c r="G755" s="3" t="str">
        <f>HYPERLINK("http://tmmp-catalog.com.ua/katalog/3/14144/","фото")</f>
        <v>фото</v>
      </c>
      <c r="H755" s="22"/>
    </row>
    <row r="756" spans="1:8" ht="15" x14ac:dyDescent="0.2">
      <c r="A756" s="18">
        <v>2000000028255</v>
      </c>
      <c r="B756" s="19" t="s">
        <v>1559</v>
      </c>
      <c r="C756" s="20" t="s">
        <v>1560</v>
      </c>
      <c r="D756" s="2">
        <v>10</v>
      </c>
      <c r="E756" s="21"/>
      <c r="F756" s="2">
        <f t="shared" ref="F756:F778" si="18">cena*zakaz</f>
        <v>0</v>
      </c>
      <c r="G756" s="3" t="str">
        <f>HYPERLINK("http://tmmp-catalog.com.ua/katalog/4/16868/","фото")</f>
        <v>фото</v>
      </c>
      <c r="H756" s="22"/>
    </row>
    <row r="757" spans="1:8" ht="15" x14ac:dyDescent="0.2">
      <c r="A757" s="18">
        <v>2000000028682</v>
      </c>
      <c r="B757" s="19" t="s">
        <v>1561</v>
      </c>
      <c r="C757" s="20" t="s">
        <v>1562</v>
      </c>
      <c r="D757" s="2">
        <v>10</v>
      </c>
      <c r="E757" s="21"/>
      <c r="F757" s="2">
        <f t="shared" si="18"/>
        <v>0</v>
      </c>
      <c r="G757" s="3" t="str">
        <f>HYPERLINK("http://tmmp-catalog.com.ua/katalog/5/14207/","фото")</f>
        <v>фото</v>
      </c>
      <c r="H757" s="22"/>
    </row>
    <row r="758" spans="1:8" ht="15" x14ac:dyDescent="0.2">
      <c r="A758" s="18">
        <v>2000000025049</v>
      </c>
      <c r="B758" s="19" t="s">
        <v>1563</v>
      </c>
      <c r="C758" s="20" t="s">
        <v>1564</v>
      </c>
      <c r="D758" s="2">
        <v>2.6</v>
      </c>
      <c r="E758" s="21"/>
      <c r="F758" s="2">
        <f t="shared" si="18"/>
        <v>0</v>
      </c>
      <c r="G758" s="3" t="str">
        <f>HYPERLINK("http://tmmp-catalog.com.ua/katalog/3/14145/","фото")</f>
        <v>фото</v>
      </c>
      <c r="H758" s="22"/>
    </row>
    <row r="759" spans="1:8" ht="15" x14ac:dyDescent="0.2">
      <c r="A759" s="18">
        <v>2000000025056</v>
      </c>
      <c r="B759" s="19" t="s">
        <v>1565</v>
      </c>
      <c r="C759" s="20" t="s">
        <v>1566</v>
      </c>
      <c r="D759" s="2">
        <v>6</v>
      </c>
      <c r="E759" s="21"/>
      <c r="F759" s="2">
        <f t="shared" si="18"/>
        <v>0</v>
      </c>
      <c r="G759" s="3" t="str">
        <f>HYPERLINK("http://tmmp-catalog.com.ua/katalog/3/14146/","фото")</f>
        <v>фото</v>
      </c>
      <c r="H759" s="22"/>
    </row>
    <row r="760" spans="1:8" ht="15" x14ac:dyDescent="0.2">
      <c r="A760" s="18">
        <v>2000000025063</v>
      </c>
      <c r="B760" s="19" t="s">
        <v>1567</v>
      </c>
      <c r="C760" s="20" t="s">
        <v>1568</v>
      </c>
      <c r="D760" s="2">
        <v>5.7</v>
      </c>
      <c r="E760" s="21"/>
      <c r="F760" s="2">
        <f t="shared" si="18"/>
        <v>0</v>
      </c>
      <c r="G760" s="3" t="str">
        <f>HYPERLINK("http://tmmp-catalog.com.ua/katalog/3/14147/","фото")</f>
        <v>фото</v>
      </c>
      <c r="H760" s="22"/>
    </row>
    <row r="761" spans="1:8" ht="15" x14ac:dyDescent="0.2">
      <c r="A761" s="18"/>
      <c r="B761" s="19" t="s">
        <v>1569</v>
      </c>
      <c r="C761" s="20" t="s">
        <v>1570</v>
      </c>
      <c r="D761" s="2">
        <v>0.9</v>
      </c>
      <c r="E761" s="21"/>
      <c r="F761" s="2">
        <f t="shared" si="18"/>
        <v>0</v>
      </c>
      <c r="G761" s="3" t="str">
        <f>HYPERLINK("http://tmmp-catalog.com.ua/katalog/3/17675/","фото")</f>
        <v>фото</v>
      </c>
      <c r="H761" s="22"/>
    </row>
    <row r="762" spans="1:8" ht="15" x14ac:dyDescent="0.2">
      <c r="A762" s="18"/>
      <c r="B762" s="19" t="s">
        <v>1571</v>
      </c>
      <c r="C762" s="20" t="s">
        <v>1572</v>
      </c>
      <c r="D762" s="2">
        <v>0.75</v>
      </c>
      <c r="E762" s="21"/>
      <c r="F762" s="2">
        <f t="shared" si="18"/>
        <v>0</v>
      </c>
      <c r="G762" s="3" t="str">
        <f>HYPERLINK("http://tmmp-catalog.com.ua/katalog/37/18516/","фото")</f>
        <v>фото</v>
      </c>
      <c r="H762" s="22"/>
    </row>
    <row r="763" spans="1:8" ht="15" x14ac:dyDescent="0.2">
      <c r="A763" s="18">
        <v>2000000025070</v>
      </c>
      <c r="B763" s="19" t="s">
        <v>1573</v>
      </c>
      <c r="C763" s="20" t="s">
        <v>1574</v>
      </c>
      <c r="D763" s="2">
        <v>0.5</v>
      </c>
      <c r="E763" s="21"/>
      <c r="F763" s="2">
        <f t="shared" si="18"/>
        <v>0</v>
      </c>
      <c r="G763" s="3" t="str">
        <f>HYPERLINK("http://tmmp-catalog.com.ua/katalog/3/14148/","фото")</f>
        <v>фото</v>
      </c>
      <c r="H763" s="22"/>
    </row>
    <row r="764" spans="1:8" ht="15" x14ac:dyDescent="0.2">
      <c r="A764" s="18">
        <v>2000000025087</v>
      </c>
      <c r="B764" s="19" t="s">
        <v>1575</v>
      </c>
      <c r="C764" s="20" t="s">
        <v>1576</v>
      </c>
      <c r="D764" s="2">
        <v>0.9</v>
      </c>
      <c r="E764" s="21"/>
      <c r="F764" s="2">
        <f t="shared" si="18"/>
        <v>0</v>
      </c>
      <c r="G764" s="3" t="str">
        <f>HYPERLINK("http://tmmp-catalog.com.ua/katalog/3/14149/","фото")</f>
        <v>фото</v>
      </c>
      <c r="H764" s="22"/>
    </row>
    <row r="765" spans="1:8" ht="15" x14ac:dyDescent="0.2">
      <c r="A765" s="18">
        <v>2000000025100</v>
      </c>
      <c r="B765" s="19" t="s">
        <v>1577</v>
      </c>
      <c r="C765" s="20" t="s">
        <v>1578</v>
      </c>
      <c r="D765" s="2">
        <v>0.45</v>
      </c>
      <c r="E765" s="21"/>
      <c r="F765" s="2">
        <f t="shared" si="18"/>
        <v>0</v>
      </c>
      <c r="G765" s="3" t="str">
        <f>HYPERLINK("http://tmmp-catalog.com.ua/katalog/3/14151/","фото")</f>
        <v>фото</v>
      </c>
      <c r="H765" s="22"/>
    </row>
    <row r="766" spans="1:8" ht="15" x14ac:dyDescent="0.2">
      <c r="A766" s="18">
        <v>2000000028729</v>
      </c>
      <c r="B766" s="19" t="s">
        <v>1579</v>
      </c>
      <c r="C766" s="20" t="s">
        <v>1580</v>
      </c>
      <c r="D766" s="2">
        <v>2.1</v>
      </c>
      <c r="E766" s="21"/>
      <c r="F766" s="2">
        <f t="shared" si="18"/>
        <v>0</v>
      </c>
      <c r="G766" s="3" t="str">
        <f>HYPERLINK("http://tmmp-catalog.com.ua/katalog/5/14211/","фото")</f>
        <v>фото</v>
      </c>
      <c r="H766" s="22"/>
    </row>
    <row r="767" spans="1:8" ht="15" x14ac:dyDescent="0.2">
      <c r="A767" s="18">
        <v>2000000025124</v>
      </c>
      <c r="B767" s="19" t="s">
        <v>1581</v>
      </c>
      <c r="C767" s="20" t="s">
        <v>1582</v>
      </c>
      <c r="D767" s="2">
        <v>10</v>
      </c>
      <c r="E767" s="21"/>
      <c r="F767" s="2">
        <f t="shared" si="18"/>
        <v>0</v>
      </c>
      <c r="G767" s="3" t="str">
        <f>HYPERLINK("http://tmmp-catalog.com.ua/katalog/3/14153/","фото")</f>
        <v>фото</v>
      </c>
      <c r="H767" s="22"/>
    </row>
    <row r="768" spans="1:8" ht="15" x14ac:dyDescent="0.2">
      <c r="A768" s="18">
        <v>2000000025155</v>
      </c>
      <c r="B768" s="19" t="s">
        <v>1583</v>
      </c>
      <c r="C768" s="20" t="s">
        <v>1584</v>
      </c>
      <c r="D768" s="2">
        <v>4.8</v>
      </c>
      <c r="E768" s="21"/>
      <c r="F768" s="2">
        <f t="shared" si="18"/>
        <v>0</v>
      </c>
      <c r="G768" s="3" t="str">
        <f>HYPERLINK("http://tmmp-catalog.com.ua/katalog/3/14157/","фото")</f>
        <v>фото</v>
      </c>
      <c r="H768" s="22"/>
    </row>
    <row r="769" spans="1:8" ht="15" x14ac:dyDescent="0.2">
      <c r="A769" s="18">
        <v>2000000024479</v>
      </c>
      <c r="B769" s="19" t="s">
        <v>1585</v>
      </c>
      <c r="C769" s="20" t="s">
        <v>1586</v>
      </c>
      <c r="D769" s="2">
        <v>4.3</v>
      </c>
      <c r="E769" s="21"/>
      <c r="F769" s="2">
        <f t="shared" si="18"/>
        <v>0</v>
      </c>
      <c r="G769" s="3" t="str">
        <f>HYPERLINK("http://tmmp-catalog.com.ua/katalog/3/14086/","фото")</f>
        <v>фото</v>
      </c>
      <c r="H769" s="22"/>
    </row>
    <row r="770" spans="1:8" ht="15" x14ac:dyDescent="0.2">
      <c r="A770" s="18">
        <v>2000000028224</v>
      </c>
      <c r="B770" s="19" t="s">
        <v>1587</v>
      </c>
      <c r="C770" s="20" t="s">
        <v>1588</v>
      </c>
      <c r="D770" s="2">
        <v>17</v>
      </c>
      <c r="E770" s="21"/>
      <c r="F770" s="2">
        <f t="shared" si="18"/>
        <v>0</v>
      </c>
      <c r="G770" s="3" t="str">
        <f>HYPERLINK("http://tmmp-catalog.com.ua/katalog/4/14258/","фото")</f>
        <v>фото</v>
      </c>
      <c r="H770" s="22"/>
    </row>
    <row r="771" spans="1:8" ht="15" x14ac:dyDescent="0.2">
      <c r="A771" s="18">
        <v>2000000028194</v>
      </c>
      <c r="B771" s="19" t="s">
        <v>1589</v>
      </c>
      <c r="C771" s="20" t="s">
        <v>1590</v>
      </c>
      <c r="D771" s="2">
        <v>30</v>
      </c>
      <c r="E771" s="21"/>
      <c r="F771" s="2">
        <f t="shared" si="18"/>
        <v>0</v>
      </c>
      <c r="G771" s="3" t="str">
        <f>HYPERLINK("http://tmmp-catalog.com.ua/katalog/4/14255/","фото")</f>
        <v>фото</v>
      </c>
      <c r="H771" s="22"/>
    </row>
    <row r="772" spans="1:8" ht="15" x14ac:dyDescent="0.2">
      <c r="A772" s="18">
        <v>2000000028187</v>
      </c>
      <c r="B772" s="19" t="s">
        <v>1591</v>
      </c>
      <c r="C772" s="20" t="s">
        <v>1592</v>
      </c>
      <c r="D772" s="2">
        <v>21</v>
      </c>
      <c r="E772" s="21"/>
      <c r="F772" s="2">
        <f t="shared" si="18"/>
        <v>0</v>
      </c>
      <c r="G772" s="3" t="str">
        <f>HYPERLINK("http://tmmp-catalog.com.ua/katalog/4/14254/","фото")</f>
        <v>фото</v>
      </c>
      <c r="H772" s="22"/>
    </row>
    <row r="773" spans="1:8" ht="15" x14ac:dyDescent="0.2">
      <c r="A773" s="18">
        <v>2000000028750</v>
      </c>
      <c r="B773" s="19" t="s">
        <v>1593</v>
      </c>
      <c r="C773" s="20" t="s">
        <v>1594</v>
      </c>
      <c r="D773" s="2">
        <v>17.5</v>
      </c>
      <c r="E773" s="21"/>
      <c r="F773" s="2">
        <f t="shared" si="18"/>
        <v>0</v>
      </c>
      <c r="G773" s="3" t="str">
        <f>HYPERLINK("http://tmmp-catalog.com.ua/katalog/5/14214/","фото")</f>
        <v>фото</v>
      </c>
      <c r="H773" s="22"/>
    </row>
    <row r="774" spans="1:8" ht="15" x14ac:dyDescent="0.2">
      <c r="A774" s="18">
        <v>2000000028743</v>
      </c>
      <c r="B774" s="19" t="s">
        <v>1595</v>
      </c>
      <c r="C774" s="20" t="s">
        <v>1596</v>
      </c>
      <c r="D774" s="2">
        <v>27</v>
      </c>
      <c r="E774" s="21"/>
      <c r="F774" s="2">
        <f t="shared" si="18"/>
        <v>0</v>
      </c>
      <c r="G774" s="3" t="str">
        <f>HYPERLINK("http://tmmp-catalog.com.ua/katalog/5/14213/","фото")</f>
        <v>фото</v>
      </c>
      <c r="H774" s="22"/>
    </row>
    <row r="775" spans="1:8" ht="15" x14ac:dyDescent="0.2">
      <c r="A775" s="18">
        <v>2000000028774</v>
      </c>
      <c r="B775" s="19" t="s">
        <v>1597</v>
      </c>
      <c r="C775" s="20" t="s">
        <v>1598</v>
      </c>
      <c r="D775" s="2">
        <v>26</v>
      </c>
      <c r="E775" s="21"/>
      <c r="F775" s="2">
        <f t="shared" si="18"/>
        <v>0</v>
      </c>
      <c r="G775" s="3" t="str">
        <f>HYPERLINK("http://tmmp-catalog.com.ua/katalog/5/14216/","фото")</f>
        <v>фото</v>
      </c>
      <c r="H775" s="22"/>
    </row>
    <row r="776" spans="1:8" ht="15" x14ac:dyDescent="0.2">
      <c r="A776" s="18">
        <v>2000000025445</v>
      </c>
      <c r="B776" s="19" t="s">
        <v>1599</v>
      </c>
      <c r="C776" s="20" t="s">
        <v>1600</v>
      </c>
      <c r="D776" s="2">
        <v>0.1</v>
      </c>
      <c r="E776" s="21"/>
      <c r="F776" s="2">
        <f t="shared" si="18"/>
        <v>0</v>
      </c>
      <c r="G776" s="3" t="str">
        <f>HYPERLINK("http://tmmp-catalog.com.ua/katalog/3/16893/","фото")</f>
        <v>фото</v>
      </c>
      <c r="H776" s="22"/>
    </row>
    <row r="777" spans="1:8" ht="15" x14ac:dyDescent="0.2">
      <c r="A777" s="18">
        <v>2000000025216</v>
      </c>
      <c r="B777" s="19" t="s">
        <v>1601</v>
      </c>
      <c r="C777" s="20" t="s">
        <v>1602</v>
      </c>
      <c r="D777" s="2">
        <v>1.6</v>
      </c>
      <c r="E777" s="21"/>
      <c r="F777" s="2">
        <f t="shared" si="18"/>
        <v>0</v>
      </c>
      <c r="G777" s="3" t="str">
        <f>HYPERLINK("http://tmmp-catalog.com.ua/katalog/3/14163/","фото")</f>
        <v>фото</v>
      </c>
      <c r="H777" s="22"/>
    </row>
    <row r="778" spans="1:8" ht="15" x14ac:dyDescent="0.2">
      <c r="A778" s="18">
        <v>2000000025230</v>
      </c>
      <c r="B778" s="19" t="s">
        <v>1603</v>
      </c>
      <c r="C778" s="20" t="s">
        <v>1604</v>
      </c>
      <c r="D778" s="2">
        <v>0.8</v>
      </c>
      <c r="E778" s="21"/>
      <c r="F778" s="2">
        <f t="shared" si="18"/>
        <v>0</v>
      </c>
      <c r="G778" s="3" t="str">
        <f>HYPERLINK("http://tmmp-catalog.com.ua/katalog/3/14165/","фото")</f>
        <v>фото</v>
      </c>
      <c r="H778" s="22"/>
    </row>
    <row r="779" spans="1:8" ht="23.25" x14ac:dyDescent="0.2">
      <c r="A779" s="18"/>
      <c r="B779" s="51"/>
      <c r="C779" s="56" t="s">
        <v>1</v>
      </c>
      <c r="D779" s="52"/>
      <c r="E779" s="53"/>
      <c r="F779" s="52"/>
      <c r="G779" s="54"/>
      <c r="H779" s="55"/>
    </row>
    <row r="780" spans="1:8" ht="15" x14ac:dyDescent="0.2">
      <c r="A780" s="18">
        <v>2000000011936</v>
      </c>
      <c r="B780" s="19" t="s">
        <v>1605</v>
      </c>
      <c r="C780" s="20" t="s">
        <v>1606</v>
      </c>
      <c r="D780" s="2">
        <v>16</v>
      </c>
      <c r="E780" s="21"/>
      <c r="F780" s="2">
        <f t="shared" ref="F780:F843" si="19">cena*zakaz</f>
        <v>0</v>
      </c>
      <c r="G780" s="3" t="str">
        <f>HYPERLINK("http://tmmp-catalog.com.ua/katalog/2/14797/","фото")</f>
        <v>фото</v>
      </c>
      <c r="H780" s="22"/>
    </row>
    <row r="781" spans="1:8" ht="15" x14ac:dyDescent="0.2">
      <c r="A781" s="18">
        <v>2000000011981</v>
      </c>
      <c r="B781" s="19" t="s">
        <v>1607</v>
      </c>
      <c r="C781" s="20" t="s">
        <v>1608</v>
      </c>
      <c r="D781" s="2">
        <v>20</v>
      </c>
      <c r="E781" s="21"/>
      <c r="F781" s="2">
        <f t="shared" si="19"/>
        <v>0</v>
      </c>
      <c r="G781" s="3" t="str">
        <f>HYPERLINK("http://tmmp-catalog.com.ua/katalog/2/14802/","фото")</f>
        <v>фото</v>
      </c>
      <c r="H781" s="22"/>
    </row>
    <row r="782" spans="1:8" ht="15" x14ac:dyDescent="0.2">
      <c r="A782" s="18">
        <v>2000000013367</v>
      </c>
      <c r="B782" s="19" t="s">
        <v>1609</v>
      </c>
      <c r="C782" s="20" t="s">
        <v>1610</v>
      </c>
      <c r="D782" s="2">
        <v>25</v>
      </c>
      <c r="E782" s="21"/>
      <c r="F782" s="2">
        <f t="shared" si="19"/>
        <v>0</v>
      </c>
      <c r="G782" s="3" t="str">
        <f>HYPERLINK("http://tmmp-catalog.com.ua/katalog/2/14943/","фото")</f>
        <v>фото</v>
      </c>
      <c r="H782" s="22"/>
    </row>
    <row r="783" spans="1:8" ht="15" x14ac:dyDescent="0.2">
      <c r="A783" s="18">
        <v>2000000012001</v>
      </c>
      <c r="B783" s="19" t="s">
        <v>1611</v>
      </c>
      <c r="C783" s="20" t="s">
        <v>1612</v>
      </c>
      <c r="D783" s="2">
        <v>5.8</v>
      </c>
      <c r="E783" s="21"/>
      <c r="F783" s="2">
        <f t="shared" si="19"/>
        <v>0</v>
      </c>
      <c r="G783" s="3" t="str">
        <f>HYPERLINK("http://tmmp-catalog.com.ua/katalog/2/14804/","фото")</f>
        <v>фото</v>
      </c>
      <c r="H783" s="22"/>
    </row>
    <row r="784" spans="1:8" ht="15" x14ac:dyDescent="0.2">
      <c r="A784" s="18">
        <v>2000000012025</v>
      </c>
      <c r="B784" s="19" t="s">
        <v>1613</v>
      </c>
      <c r="C784" s="20" t="s">
        <v>1614</v>
      </c>
      <c r="D784" s="2">
        <v>7.5</v>
      </c>
      <c r="E784" s="21"/>
      <c r="F784" s="2">
        <f t="shared" si="19"/>
        <v>0</v>
      </c>
      <c r="G784" s="3" t="str">
        <f>HYPERLINK("http://tmmp-catalog.com.ua/katalog/2/14806/","фото")</f>
        <v>фото</v>
      </c>
      <c r="H784" s="22"/>
    </row>
    <row r="785" spans="1:8" ht="15" x14ac:dyDescent="0.2">
      <c r="A785" s="18"/>
      <c r="B785" s="19" t="s">
        <v>1615</v>
      </c>
      <c r="C785" s="20" t="s">
        <v>1616</v>
      </c>
      <c r="D785" s="2">
        <v>13</v>
      </c>
      <c r="E785" s="21"/>
      <c r="F785" s="2">
        <f t="shared" si="19"/>
        <v>0</v>
      </c>
      <c r="G785" s="3" t="str">
        <f>HYPERLINK("http://tmmp-catalog.com.ua/katalog/1/17790/","фото")</f>
        <v>фото</v>
      </c>
      <c r="H785" s="22"/>
    </row>
    <row r="786" spans="1:8" ht="15" x14ac:dyDescent="0.2">
      <c r="A786" s="18">
        <v>2000000012032</v>
      </c>
      <c r="B786" s="19" t="s">
        <v>1617</v>
      </c>
      <c r="C786" s="20" t="s">
        <v>1618</v>
      </c>
      <c r="D786" s="2">
        <v>13</v>
      </c>
      <c r="E786" s="21"/>
      <c r="F786" s="2">
        <f t="shared" si="19"/>
        <v>0</v>
      </c>
      <c r="G786" s="3" t="str">
        <f>HYPERLINK("http://tmmp-catalog.com.ua/katalog/2/14807/","фото")</f>
        <v>фото</v>
      </c>
      <c r="H786" s="22"/>
    </row>
    <row r="787" spans="1:8" ht="15" x14ac:dyDescent="0.2">
      <c r="A787" s="18">
        <v>2000000015255</v>
      </c>
      <c r="B787" s="19" t="s">
        <v>1619</v>
      </c>
      <c r="C787" s="20" t="s">
        <v>1620</v>
      </c>
      <c r="D787" s="2">
        <v>0.25</v>
      </c>
      <c r="E787" s="21"/>
      <c r="F787" s="2">
        <f t="shared" si="19"/>
        <v>0</v>
      </c>
      <c r="G787" s="3" t="str">
        <f>HYPERLINK("http://tmmp-catalog.com.ua/katalog/2/16791/","фото")</f>
        <v>фото</v>
      </c>
      <c r="H787" s="22"/>
    </row>
    <row r="788" spans="1:8" ht="15" x14ac:dyDescent="0.2">
      <c r="A788" s="18">
        <v>2000000001852</v>
      </c>
      <c r="B788" s="19" t="s">
        <v>1621</v>
      </c>
      <c r="C788" s="20" t="s">
        <v>1622</v>
      </c>
      <c r="D788" s="2">
        <v>3</v>
      </c>
      <c r="E788" s="21"/>
      <c r="F788" s="2">
        <f t="shared" si="19"/>
        <v>0</v>
      </c>
      <c r="G788" s="3" t="str">
        <f>HYPERLINK("http://tmmp-catalog.com.ua/katalog/1/16809/","фото")</f>
        <v>фото</v>
      </c>
      <c r="H788" s="22"/>
    </row>
    <row r="789" spans="1:8" ht="15" x14ac:dyDescent="0.2">
      <c r="A789" s="18">
        <v>2000000012100</v>
      </c>
      <c r="B789" s="19" t="s">
        <v>1623</v>
      </c>
      <c r="C789" s="20" t="s">
        <v>1624</v>
      </c>
      <c r="D789" s="2">
        <v>3.6</v>
      </c>
      <c r="E789" s="21"/>
      <c r="F789" s="2">
        <f t="shared" si="19"/>
        <v>0</v>
      </c>
      <c r="G789" s="3" t="str">
        <f>HYPERLINK("http://tmmp-catalog.com.ua/katalog/2/14814/","фото")</f>
        <v>фото</v>
      </c>
      <c r="H789" s="22"/>
    </row>
    <row r="790" spans="1:8" ht="15" x14ac:dyDescent="0.2">
      <c r="A790" s="18">
        <v>2000000000145</v>
      </c>
      <c r="B790" s="19" t="s">
        <v>1625</v>
      </c>
      <c r="C790" s="20" t="s">
        <v>1626</v>
      </c>
      <c r="D790" s="2">
        <v>25</v>
      </c>
      <c r="E790" s="21"/>
      <c r="F790" s="2">
        <f t="shared" si="19"/>
        <v>0</v>
      </c>
      <c r="G790" s="3" t="str">
        <f>HYPERLINK("http://tmmp-catalog.com.ua/katalog/1/14633/","фото")</f>
        <v>фото</v>
      </c>
      <c r="H790" s="22"/>
    </row>
    <row r="791" spans="1:8" ht="15" x14ac:dyDescent="0.2">
      <c r="A791" s="18">
        <v>2000000012124</v>
      </c>
      <c r="B791" s="19" t="s">
        <v>1627</v>
      </c>
      <c r="C791" s="20" t="s">
        <v>1628</v>
      </c>
      <c r="D791" s="2">
        <v>20</v>
      </c>
      <c r="E791" s="21"/>
      <c r="F791" s="2">
        <f t="shared" si="19"/>
        <v>0</v>
      </c>
      <c r="G791" s="3" t="str">
        <f>HYPERLINK("http://tmmp-catalog.com.ua/katalog/2/14816/","фото")</f>
        <v>фото</v>
      </c>
      <c r="H791" s="22"/>
    </row>
    <row r="792" spans="1:8" ht="15" x14ac:dyDescent="0.2">
      <c r="A792" s="18">
        <v>2000000000152</v>
      </c>
      <c r="B792" s="19" t="s">
        <v>1629</v>
      </c>
      <c r="C792" s="20" t="s">
        <v>1630</v>
      </c>
      <c r="D792" s="2">
        <v>8</v>
      </c>
      <c r="E792" s="21"/>
      <c r="F792" s="2">
        <f t="shared" si="19"/>
        <v>0</v>
      </c>
      <c r="G792" s="3" t="str">
        <f>HYPERLINK("http://tmmp-catalog.com.ua/katalog/1/14634/","фото")</f>
        <v>фото</v>
      </c>
      <c r="H792" s="22"/>
    </row>
    <row r="793" spans="1:8" ht="15" x14ac:dyDescent="0.2">
      <c r="A793" s="18"/>
      <c r="B793" s="19" t="s">
        <v>1631</v>
      </c>
      <c r="C793" s="20" t="s">
        <v>1632</v>
      </c>
      <c r="D793" s="2">
        <v>7.8</v>
      </c>
      <c r="E793" s="21"/>
      <c r="F793" s="2">
        <f t="shared" si="19"/>
        <v>0</v>
      </c>
      <c r="G793" s="3" t="str">
        <f>HYPERLINK("http://tmmp-catalog.com.ua/katalog/1/17769/","фото")</f>
        <v>фото</v>
      </c>
      <c r="H793" s="22"/>
    </row>
    <row r="794" spans="1:8" ht="15" x14ac:dyDescent="0.2">
      <c r="A794" s="18"/>
      <c r="B794" s="19" t="s">
        <v>1633</v>
      </c>
      <c r="C794" s="20" t="s">
        <v>1634</v>
      </c>
      <c r="D794" s="2">
        <v>7</v>
      </c>
      <c r="E794" s="21"/>
      <c r="F794" s="2">
        <f t="shared" si="19"/>
        <v>0</v>
      </c>
      <c r="G794" s="3" t="str">
        <f>HYPERLINK("http://tmmp-catalog.com.ua/katalog/37/18653/","фото")</f>
        <v>фото</v>
      </c>
      <c r="H794" s="22"/>
    </row>
    <row r="795" spans="1:8" ht="15" x14ac:dyDescent="0.2">
      <c r="A795" s="18">
        <v>2000000012131</v>
      </c>
      <c r="B795" s="19" t="s">
        <v>1635</v>
      </c>
      <c r="C795" s="20" t="s">
        <v>1636</v>
      </c>
      <c r="D795" s="2">
        <v>4.5</v>
      </c>
      <c r="E795" s="21"/>
      <c r="F795" s="2">
        <f t="shared" si="19"/>
        <v>0</v>
      </c>
      <c r="G795" s="3" t="str">
        <f>HYPERLINK("http://tmmp-catalog.com.ua/katalog/2/14817/","фото")</f>
        <v>фото</v>
      </c>
      <c r="H795" s="22"/>
    </row>
    <row r="796" spans="1:8" ht="15" x14ac:dyDescent="0.2">
      <c r="A796" s="18"/>
      <c r="B796" s="19" t="s">
        <v>1637</v>
      </c>
      <c r="C796" s="20" t="s">
        <v>1638</v>
      </c>
      <c r="D796" s="2">
        <v>4.9000000000000004</v>
      </c>
      <c r="E796" s="21"/>
      <c r="F796" s="2">
        <f t="shared" si="19"/>
        <v>0</v>
      </c>
      <c r="G796" s="3" t="str">
        <f>HYPERLINK("http://tmmp-catalog.com.ua/katalog/2/17668/","фото")</f>
        <v>фото</v>
      </c>
      <c r="H796" s="22"/>
    </row>
    <row r="797" spans="1:8" ht="15" x14ac:dyDescent="0.2">
      <c r="A797" s="18">
        <v>2000000015170</v>
      </c>
      <c r="B797" s="19" t="s">
        <v>1639</v>
      </c>
      <c r="C797" s="20" t="s">
        <v>1640</v>
      </c>
      <c r="D797" s="2">
        <v>0.4</v>
      </c>
      <c r="E797" s="21"/>
      <c r="F797" s="2">
        <f t="shared" si="19"/>
        <v>0</v>
      </c>
      <c r="G797" s="3" t="str">
        <f>HYPERLINK("http://tmmp-catalog.com.ua/katalog/2/16783/","фото")</f>
        <v>фото</v>
      </c>
      <c r="H797" s="22"/>
    </row>
    <row r="798" spans="1:8" ht="15" x14ac:dyDescent="0.2">
      <c r="A798" s="18">
        <v>2000000000176</v>
      </c>
      <c r="B798" s="19" t="s">
        <v>1641</v>
      </c>
      <c r="C798" s="20" t="s">
        <v>1642</v>
      </c>
      <c r="D798" s="2">
        <v>0.7</v>
      </c>
      <c r="E798" s="21"/>
      <c r="F798" s="2">
        <f t="shared" si="19"/>
        <v>0</v>
      </c>
      <c r="G798" s="3" t="str">
        <f>HYPERLINK("http://tmmp-catalog.com.ua/katalog/1/14636/","фото")</f>
        <v>фото</v>
      </c>
      <c r="H798" s="22"/>
    </row>
    <row r="799" spans="1:8" ht="15" x14ac:dyDescent="0.2">
      <c r="A799" s="18">
        <v>2000000012162</v>
      </c>
      <c r="B799" s="19" t="s">
        <v>1643</v>
      </c>
      <c r="C799" s="20" t="s">
        <v>1644</v>
      </c>
      <c r="D799" s="2">
        <v>0.7</v>
      </c>
      <c r="E799" s="21"/>
      <c r="F799" s="2">
        <f t="shared" si="19"/>
        <v>0</v>
      </c>
      <c r="G799" s="3" t="str">
        <f>HYPERLINK("http://tmmp-catalog.com.ua/katalog/2/14820/","фото")</f>
        <v>фото</v>
      </c>
      <c r="H799" s="22"/>
    </row>
    <row r="800" spans="1:8" ht="15" x14ac:dyDescent="0.2">
      <c r="A800" s="18">
        <v>2000000014784</v>
      </c>
      <c r="B800" s="19" t="s">
        <v>1645</v>
      </c>
      <c r="C800" s="20" t="s">
        <v>1646</v>
      </c>
      <c r="D800" s="2">
        <v>0.2</v>
      </c>
      <c r="E800" s="21"/>
      <c r="F800" s="2">
        <f t="shared" si="19"/>
        <v>0</v>
      </c>
      <c r="G800" s="3" t="str">
        <f>HYPERLINK("http://tmmp-catalog.com.ua/katalog/2/16496/","фото")</f>
        <v>фото</v>
      </c>
      <c r="H800" s="22"/>
    </row>
    <row r="801" spans="1:8" ht="15" x14ac:dyDescent="0.2">
      <c r="A801" s="18">
        <v>2000000000190</v>
      </c>
      <c r="B801" s="19" t="s">
        <v>1647</v>
      </c>
      <c r="C801" s="20" t="s">
        <v>1648</v>
      </c>
      <c r="D801" s="2">
        <v>0.3</v>
      </c>
      <c r="E801" s="21"/>
      <c r="F801" s="2">
        <f t="shared" si="19"/>
        <v>0</v>
      </c>
      <c r="G801" s="3" t="str">
        <f>HYPERLINK("http://tmmp-catalog.com.ua/katalog/1/14638/","фото")</f>
        <v>фото</v>
      </c>
      <c r="H801" s="22"/>
    </row>
    <row r="802" spans="1:8" ht="15" x14ac:dyDescent="0.2">
      <c r="A802" s="18">
        <v>2000000015347</v>
      </c>
      <c r="B802" s="19" t="s">
        <v>1649</v>
      </c>
      <c r="C802" s="20" t="s">
        <v>1650</v>
      </c>
      <c r="D802" s="2">
        <v>0.45</v>
      </c>
      <c r="E802" s="21"/>
      <c r="F802" s="2">
        <f t="shared" si="19"/>
        <v>0</v>
      </c>
      <c r="G802" s="3" t="str">
        <f>HYPERLINK("http://tmmp-catalog.com.ua/katalog/2/16800/","фото")</f>
        <v>фото</v>
      </c>
      <c r="H802" s="22"/>
    </row>
    <row r="803" spans="1:8" ht="15" x14ac:dyDescent="0.2">
      <c r="A803" s="18">
        <v>2000000000213</v>
      </c>
      <c r="B803" s="19" t="s">
        <v>1651</v>
      </c>
      <c r="C803" s="20" t="s">
        <v>1652</v>
      </c>
      <c r="D803" s="2">
        <v>9</v>
      </c>
      <c r="E803" s="21"/>
      <c r="F803" s="2">
        <f t="shared" si="19"/>
        <v>0</v>
      </c>
      <c r="G803" s="3" t="str">
        <f>HYPERLINK("http://tmmp-catalog.com.ua/katalog/1/14640/","фото")</f>
        <v>фото</v>
      </c>
      <c r="H803" s="22"/>
    </row>
    <row r="804" spans="1:8" ht="15" x14ac:dyDescent="0.2">
      <c r="A804" s="18">
        <v>2000000000220</v>
      </c>
      <c r="B804" s="19" t="s">
        <v>1653</v>
      </c>
      <c r="C804" s="20" t="s">
        <v>1654</v>
      </c>
      <c r="D804" s="2">
        <v>5.5</v>
      </c>
      <c r="E804" s="21"/>
      <c r="F804" s="2">
        <f t="shared" si="19"/>
        <v>0</v>
      </c>
      <c r="G804" s="3" t="str">
        <f>HYPERLINK("http://tmmp-catalog.com.ua/katalog/1/14641/","фото")</f>
        <v>фото</v>
      </c>
      <c r="H804" s="22"/>
    </row>
    <row r="805" spans="1:8" ht="15" x14ac:dyDescent="0.2">
      <c r="A805" s="18">
        <v>2000000000237</v>
      </c>
      <c r="B805" s="19" t="s">
        <v>1655</v>
      </c>
      <c r="C805" s="20" t="s">
        <v>1656</v>
      </c>
      <c r="D805" s="2">
        <v>6.3</v>
      </c>
      <c r="E805" s="21"/>
      <c r="F805" s="2">
        <f t="shared" si="19"/>
        <v>0</v>
      </c>
      <c r="G805" s="3" t="str">
        <f>HYPERLINK("http://tmmp-catalog.com.ua/katalog/1/14642/","фото")</f>
        <v>фото</v>
      </c>
      <c r="H805" s="22"/>
    </row>
    <row r="806" spans="1:8" ht="15" x14ac:dyDescent="0.2">
      <c r="A806" s="18">
        <v>2000000012193</v>
      </c>
      <c r="B806" s="19" t="s">
        <v>1657</v>
      </c>
      <c r="C806" s="20" t="s">
        <v>1658</v>
      </c>
      <c r="D806" s="2">
        <v>5.5</v>
      </c>
      <c r="E806" s="21"/>
      <c r="F806" s="2">
        <f t="shared" si="19"/>
        <v>0</v>
      </c>
      <c r="G806" s="3" t="str">
        <f>HYPERLINK("http://tmmp-catalog.com.ua/katalog/2/14824/","фото")</f>
        <v>фото</v>
      </c>
      <c r="H806" s="22"/>
    </row>
    <row r="807" spans="1:8" ht="15" x14ac:dyDescent="0.2">
      <c r="A807" s="18"/>
      <c r="B807" s="19" t="s">
        <v>1659</v>
      </c>
      <c r="C807" s="20" t="s">
        <v>1660</v>
      </c>
      <c r="D807" s="2">
        <v>7.5</v>
      </c>
      <c r="E807" s="21"/>
      <c r="F807" s="2">
        <f t="shared" si="19"/>
        <v>0</v>
      </c>
      <c r="G807" s="3" t="str">
        <f>HYPERLINK("http://tmmp-catalog.com.ua/katalog/37/18286/","фото")</f>
        <v>фото</v>
      </c>
      <c r="H807" s="22"/>
    </row>
    <row r="808" spans="1:8" ht="15" x14ac:dyDescent="0.2">
      <c r="A808" s="18">
        <v>2000000000244</v>
      </c>
      <c r="B808" s="19" t="s">
        <v>1661</v>
      </c>
      <c r="C808" s="20" t="s">
        <v>1662</v>
      </c>
      <c r="D808" s="2">
        <v>22</v>
      </c>
      <c r="E808" s="21"/>
      <c r="F808" s="2">
        <f t="shared" si="19"/>
        <v>0</v>
      </c>
      <c r="G808" s="3" t="str">
        <f>HYPERLINK("http://tmmp-catalog.com.ua/katalog/1/14643/","фото")</f>
        <v>фото</v>
      </c>
      <c r="H808" s="22"/>
    </row>
    <row r="809" spans="1:8" ht="15" x14ac:dyDescent="0.2">
      <c r="A809" s="18">
        <v>2000000000251</v>
      </c>
      <c r="B809" s="19" t="s">
        <v>1663</v>
      </c>
      <c r="C809" s="20" t="s">
        <v>1664</v>
      </c>
      <c r="D809" s="2">
        <v>24</v>
      </c>
      <c r="E809" s="21"/>
      <c r="F809" s="2">
        <f t="shared" si="19"/>
        <v>0</v>
      </c>
      <c r="G809" s="3" t="str">
        <f>HYPERLINK("http://tmmp-catalog.com.ua/katalog/1/14644/","фото")</f>
        <v>фото</v>
      </c>
      <c r="H809" s="22"/>
    </row>
    <row r="810" spans="1:8" ht="15" x14ac:dyDescent="0.2">
      <c r="A810" s="18">
        <v>2000000012223</v>
      </c>
      <c r="B810" s="19" t="s">
        <v>1665</v>
      </c>
      <c r="C810" s="20" t="s">
        <v>1666</v>
      </c>
      <c r="D810" s="2">
        <v>24</v>
      </c>
      <c r="E810" s="21"/>
      <c r="F810" s="2">
        <f t="shared" si="19"/>
        <v>0</v>
      </c>
      <c r="G810" s="3" t="str">
        <f>HYPERLINK("http://tmmp-catalog.com.ua/katalog/2/14827/","фото")</f>
        <v>фото</v>
      </c>
      <c r="H810" s="22"/>
    </row>
    <row r="811" spans="1:8" ht="15" x14ac:dyDescent="0.2">
      <c r="A811" s="18">
        <v>2000000012216</v>
      </c>
      <c r="B811" s="19" t="s">
        <v>1667</v>
      </c>
      <c r="C811" s="20" t="s">
        <v>1668</v>
      </c>
      <c r="D811" s="2">
        <v>17</v>
      </c>
      <c r="E811" s="21"/>
      <c r="F811" s="2">
        <f t="shared" si="19"/>
        <v>0</v>
      </c>
      <c r="G811" s="3" t="str">
        <f>HYPERLINK("http://tmmp-catalog.com.ua/katalog/2/14826/","фото")</f>
        <v>фото</v>
      </c>
      <c r="H811" s="22"/>
    </row>
    <row r="812" spans="1:8" ht="15" x14ac:dyDescent="0.2">
      <c r="A812" s="18">
        <v>2000000000268</v>
      </c>
      <c r="B812" s="19" t="s">
        <v>1669</v>
      </c>
      <c r="C812" s="20" t="s">
        <v>1670</v>
      </c>
      <c r="D812" s="2">
        <v>26</v>
      </c>
      <c r="E812" s="21"/>
      <c r="F812" s="2">
        <f t="shared" si="19"/>
        <v>0</v>
      </c>
      <c r="G812" s="3" t="str">
        <f>HYPERLINK("http://tmmp-catalog.com.ua/katalog/1/14645/","фото")</f>
        <v>фото</v>
      </c>
      <c r="H812" s="22"/>
    </row>
    <row r="813" spans="1:8" ht="15" x14ac:dyDescent="0.2">
      <c r="A813" s="18"/>
      <c r="B813" s="19" t="s">
        <v>1671</v>
      </c>
      <c r="C813" s="20" t="s">
        <v>1672</v>
      </c>
      <c r="D813" s="2">
        <v>27</v>
      </c>
      <c r="E813" s="21"/>
      <c r="F813" s="2">
        <f t="shared" si="19"/>
        <v>0</v>
      </c>
      <c r="G813" s="3" t="str">
        <f>HYPERLINK("http://tmmp-catalog.com.ua/katalog/2/17279/","фото")</f>
        <v>фото</v>
      </c>
      <c r="H813" s="22"/>
    </row>
    <row r="814" spans="1:8" ht="15" x14ac:dyDescent="0.2">
      <c r="A814" s="18">
        <v>2000000000282</v>
      </c>
      <c r="B814" s="19" t="s">
        <v>1673</v>
      </c>
      <c r="C814" s="20" t="s">
        <v>1674</v>
      </c>
      <c r="D814" s="2">
        <v>32</v>
      </c>
      <c r="E814" s="21"/>
      <c r="F814" s="2">
        <f t="shared" si="19"/>
        <v>0</v>
      </c>
      <c r="G814" s="3" t="str">
        <f>HYPERLINK("http://tmmp-catalog.com.ua/katalog/1/14647/","фото")</f>
        <v>фото</v>
      </c>
      <c r="H814" s="22"/>
    </row>
    <row r="815" spans="1:8" ht="15" x14ac:dyDescent="0.2">
      <c r="A815" s="18"/>
      <c r="B815" s="19" t="s">
        <v>1675</v>
      </c>
      <c r="C815" s="20" t="s">
        <v>1676</v>
      </c>
      <c r="D815" s="2">
        <v>22</v>
      </c>
      <c r="E815" s="21"/>
      <c r="F815" s="2">
        <f t="shared" si="19"/>
        <v>0</v>
      </c>
      <c r="G815" s="3" t="str">
        <f>HYPERLINK("http://tmmp-catalog.com.ua/katalog/1/17278/","фото")</f>
        <v>фото</v>
      </c>
      <c r="H815" s="22"/>
    </row>
    <row r="816" spans="1:8" ht="15" x14ac:dyDescent="0.2">
      <c r="A816" s="18">
        <v>2000000000275</v>
      </c>
      <c r="B816" s="19" t="s">
        <v>1677</v>
      </c>
      <c r="C816" s="20" t="s">
        <v>1678</v>
      </c>
      <c r="D816" s="2">
        <v>10</v>
      </c>
      <c r="E816" s="21"/>
      <c r="F816" s="2">
        <f t="shared" si="19"/>
        <v>0</v>
      </c>
      <c r="G816" s="3" t="str">
        <f>HYPERLINK("http://tmmp-catalog.com.ua/katalog/1/14646/","фото")</f>
        <v>фото</v>
      </c>
      <c r="H816" s="22"/>
    </row>
    <row r="817" spans="1:8" ht="15" x14ac:dyDescent="0.2">
      <c r="A817" s="18">
        <v>2000000000305</v>
      </c>
      <c r="B817" s="19" t="s">
        <v>1679</v>
      </c>
      <c r="C817" s="20" t="s">
        <v>1680</v>
      </c>
      <c r="D817" s="2">
        <v>12</v>
      </c>
      <c r="E817" s="21"/>
      <c r="F817" s="2">
        <f t="shared" si="19"/>
        <v>0</v>
      </c>
      <c r="G817" s="3" t="str">
        <f>HYPERLINK("http://tmmp-catalog.com.ua/katalog/1/14649/","фото")</f>
        <v>фото</v>
      </c>
      <c r="H817" s="22"/>
    </row>
    <row r="818" spans="1:8" ht="15" x14ac:dyDescent="0.2">
      <c r="A818" s="18">
        <v>2000000000299</v>
      </c>
      <c r="B818" s="19" t="s">
        <v>1681</v>
      </c>
      <c r="C818" s="20" t="s">
        <v>1682</v>
      </c>
      <c r="D818" s="2">
        <v>16</v>
      </c>
      <c r="E818" s="21"/>
      <c r="F818" s="2">
        <f t="shared" si="19"/>
        <v>0</v>
      </c>
      <c r="G818" s="3" t="str">
        <f>HYPERLINK("http://tmmp-catalog.com.ua/katalog/1/14648/","фото")</f>
        <v>фото</v>
      </c>
      <c r="H818" s="22"/>
    </row>
    <row r="819" spans="1:8" ht="15" x14ac:dyDescent="0.2">
      <c r="A819" s="18">
        <v>2000000001982</v>
      </c>
      <c r="B819" s="19" t="s">
        <v>1683</v>
      </c>
      <c r="C819" s="20" t="s">
        <v>1684</v>
      </c>
      <c r="D819" s="2">
        <v>9</v>
      </c>
      <c r="E819" s="21"/>
      <c r="F819" s="2">
        <f t="shared" si="19"/>
        <v>0</v>
      </c>
      <c r="G819" s="3" t="str">
        <f>HYPERLINK("http://tmmp-catalog.com.ua/katalog/1/16823/","фото")</f>
        <v>фото</v>
      </c>
      <c r="H819" s="22"/>
    </row>
    <row r="820" spans="1:8" ht="15" x14ac:dyDescent="0.2">
      <c r="A820" s="18">
        <v>2000000012230</v>
      </c>
      <c r="B820" s="19" t="s">
        <v>1685</v>
      </c>
      <c r="C820" s="20" t="s">
        <v>1686</v>
      </c>
      <c r="D820" s="2">
        <v>19</v>
      </c>
      <c r="E820" s="21"/>
      <c r="F820" s="2">
        <f t="shared" si="19"/>
        <v>0</v>
      </c>
      <c r="G820" s="3" t="str">
        <f>HYPERLINK("http://tmmp-catalog.com.ua/katalog/2/14828/","фото")</f>
        <v>фото</v>
      </c>
      <c r="H820" s="22"/>
    </row>
    <row r="821" spans="1:8" ht="15" x14ac:dyDescent="0.2">
      <c r="A821" s="18">
        <v>2000000000312</v>
      </c>
      <c r="B821" s="19" t="s">
        <v>1687</v>
      </c>
      <c r="C821" s="20" t="s">
        <v>1688</v>
      </c>
      <c r="D821" s="2">
        <v>2.15</v>
      </c>
      <c r="E821" s="21"/>
      <c r="F821" s="2">
        <f t="shared" si="19"/>
        <v>0</v>
      </c>
      <c r="G821" s="3" t="str">
        <f>HYPERLINK("http://tmmp-catalog.com.ua/katalog/1/14650/","фото")</f>
        <v>фото</v>
      </c>
      <c r="H821" s="22"/>
    </row>
    <row r="822" spans="1:8" ht="15" x14ac:dyDescent="0.2">
      <c r="A822" s="18">
        <v>2000000012278</v>
      </c>
      <c r="B822" s="19" t="s">
        <v>1689</v>
      </c>
      <c r="C822" s="20" t="s">
        <v>1690</v>
      </c>
      <c r="D822" s="2">
        <v>0.8</v>
      </c>
      <c r="E822" s="21"/>
      <c r="F822" s="2">
        <f t="shared" si="19"/>
        <v>0</v>
      </c>
      <c r="G822" s="3" t="str">
        <f>HYPERLINK("http://tmmp-catalog.com.ua/katalog/2/14832/","фото")</f>
        <v>фото</v>
      </c>
      <c r="H822" s="22"/>
    </row>
    <row r="823" spans="1:8" ht="15" x14ac:dyDescent="0.2">
      <c r="A823" s="18"/>
      <c r="B823" s="19" t="s">
        <v>1691</v>
      </c>
      <c r="C823" s="20" t="s">
        <v>1692</v>
      </c>
      <c r="D823" s="2">
        <v>245</v>
      </c>
      <c r="E823" s="21"/>
      <c r="F823" s="2">
        <f t="shared" si="19"/>
        <v>0</v>
      </c>
      <c r="G823" s="3" t="str">
        <f>HYPERLINK("http://tmmp-catalog.com.ua/katalog/1/18259/","фото")</f>
        <v>фото</v>
      </c>
      <c r="H823" s="22"/>
    </row>
    <row r="824" spans="1:8" ht="15" x14ac:dyDescent="0.2">
      <c r="A824" s="18">
        <v>2000000012292</v>
      </c>
      <c r="B824" s="19" t="s">
        <v>1693</v>
      </c>
      <c r="C824" s="20" t="s">
        <v>1694</v>
      </c>
      <c r="D824" s="2">
        <v>270</v>
      </c>
      <c r="E824" s="21"/>
      <c r="F824" s="2">
        <f t="shared" si="19"/>
        <v>0</v>
      </c>
      <c r="G824" s="3" t="str">
        <f>HYPERLINK("http://tmmp-catalog.com.ua/katalog/2/14834/","фото")</f>
        <v>фото</v>
      </c>
      <c r="H824" s="22"/>
    </row>
    <row r="825" spans="1:8" ht="15" x14ac:dyDescent="0.2">
      <c r="A825" s="18">
        <v>2000000012315</v>
      </c>
      <c r="B825" s="19" t="s">
        <v>1695</v>
      </c>
      <c r="C825" s="20" t="s">
        <v>1696</v>
      </c>
      <c r="D825" s="2">
        <v>230</v>
      </c>
      <c r="E825" s="21"/>
      <c r="F825" s="2">
        <f t="shared" si="19"/>
        <v>0</v>
      </c>
      <c r="G825" s="3" t="str">
        <f>HYPERLINK("http://tmmp-catalog.com.ua/katalog/2/14836/","фото")</f>
        <v>фото</v>
      </c>
      <c r="H825" s="22"/>
    </row>
    <row r="826" spans="1:8" ht="15" x14ac:dyDescent="0.2">
      <c r="A826" s="18">
        <v>2000000012308</v>
      </c>
      <c r="B826" s="19" t="s">
        <v>1697</v>
      </c>
      <c r="C826" s="20" t="s">
        <v>1698</v>
      </c>
      <c r="D826" s="2">
        <v>220</v>
      </c>
      <c r="E826" s="21"/>
      <c r="F826" s="2">
        <f t="shared" si="19"/>
        <v>0</v>
      </c>
      <c r="G826" s="3" t="str">
        <f>HYPERLINK("http://tmmp-catalog.com.ua/katalog/2/14835/","фото")</f>
        <v>фото</v>
      </c>
      <c r="H826" s="22"/>
    </row>
    <row r="827" spans="1:8" ht="15" x14ac:dyDescent="0.2">
      <c r="A827" s="18">
        <v>2000000001920</v>
      </c>
      <c r="B827" s="19" t="s">
        <v>1699</v>
      </c>
      <c r="C827" s="20" t="s">
        <v>1700</v>
      </c>
      <c r="D827" s="2">
        <v>2.4</v>
      </c>
      <c r="E827" s="21"/>
      <c r="F827" s="2">
        <f t="shared" si="19"/>
        <v>0</v>
      </c>
      <c r="G827" s="3" t="str">
        <f>HYPERLINK("http://tmmp-catalog.com.ua/katalog/1/16817/","фото")</f>
        <v>фото</v>
      </c>
      <c r="H827" s="22"/>
    </row>
    <row r="828" spans="1:8" ht="15" x14ac:dyDescent="0.2">
      <c r="A828" s="18">
        <v>2000000000343</v>
      </c>
      <c r="B828" s="19" t="s">
        <v>1701</v>
      </c>
      <c r="C828" s="20" t="s">
        <v>1702</v>
      </c>
      <c r="D828" s="2">
        <v>1.3</v>
      </c>
      <c r="E828" s="21"/>
      <c r="F828" s="2">
        <f t="shared" si="19"/>
        <v>0</v>
      </c>
      <c r="G828" s="3" t="str">
        <f>HYPERLINK("http://tmmp-catalog.com.ua/katalog/1/14653/","фото")</f>
        <v>фото</v>
      </c>
      <c r="H828" s="22"/>
    </row>
    <row r="829" spans="1:8" ht="15" x14ac:dyDescent="0.2">
      <c r="A829" s="18">
        <v>2000000012339</v>
      </c>
      <c r="B829" s="19" t="s">
        <v>1703</v>
      </c>
      <c r="C829" s="20" t="s">
        <v>1704</v>
      </c>
      <c r="D829" s="2">
        <v>1.7</v>
      </c>
      <c r="E829" s="21"/>
      <c r="F829" s="2">
        <f t="shared" si="19"/>
        <v>0</v>
      </c>
      <c r="G829" s="3" t="str">
        <f>HYPERLINK("http://tmmp-catalog.com.ua/katalog/2/14838/","фото")</f>
        <v>фото</v>
      </c>
      <c r="H829" s="22"/>
    </row>
    <row r="830" spans="1:8" ht="15" x14ac:dyDescent="0.2">
      <c r="A830" s="18">
        <v>2000000015323</v>
      </c>
      <c r="B830" s="19" t="s">
        <v>1705</v>
      </c>
      <c r="C830" s="20" t="s">
        <v>1706</v>
      </c>
      <c r="D830" s="2">
        <v>24</v>
      </c>
      <c r="E830" s="21"/>
      <c r="F830" s="2">
        <f t="shared" si="19"/>
        <v>0</v>
      </c>
      <c r="G830" s="3" t="str">
        <f>HYPERLINK("http://tmmp-catalog.com.ua/katalog/2/16798/","фото")</f>
        <v>фото</v>
      </c>
      <c r="H830" s="22"/>
    </row>
    <row r="831" spans="1:8" ht="15" x14ac:dyDescent="0.2">
      <c r="A831" s="18">
        <v>2000000012353</v>
      </c>
      <c r="B831" s="19" t="s">
        <v>1707</v>
      </c>
      <c r="C831" s="20" t="s">
        <v>1708</v>
      </c>
      <c r="D831" s="2">
        <v>29</v>
      </c>
      <c r="E831" s="21"/>
      <c r="F831" s="2">
        <f t="shared" si="19"/>
        <v>0</v>
      </c>
      <c r="G831" s="3" t="str">
        <f>HYPERLINK("http://tmmp-catalog.com.ua/katalog/2/14840/","фото")</f>
        <v>фото</v>
      </c>
      <c r="H831" s="22"/>
    </row>
    <row r="832" spans="1:8" ht="15" x14ac:dyDescent="0.2">
      <c r="A832" s="18">
        <v>2000000014791</v>
      </c>
      <c r="B832" s="19" t="s">
        <v>1709</v>
      </c>
      <c r="C832" s="20" t="s">
        <v>1710</v>
      </c>
      <c r="D832" s="2">
        <v>29</v>
      </c>
      <c r="E832" s="21"/>
      <c r="F832" s="2">
        <f t="shared" si="19"/>
        <v>0</v>
      </c>
      <c r="G832" s="3" t="str">
        <f>HYPERLINK("http://tmmp-catalog.com.ua/katalog/2/16537/","фото")</f>
        <v>фото</v>
      </c>
      <c r="H832" s="22"/>
    </row>
    <row r="833" spans="1:8" ht="15" x14ac:dyDescent="0.2">
      <c r="A833" s="18">
        <v>2000000000381</v>
      </c>
      <c r="B833" s="19" t="s">
        <v>1711</v>
      </c>
      <c r="C833" s="20" t="s">
        <v>1712</v>
      </c>
      <c r="D833" s="2">
        <v>33</v>
      </c>
      <c r="E833" s="21"/>
      <c r="F833" s="2">
        <f t="shared" si="19"/>
        <v>0</v>
      </c>
      <c r="G833" s="3" t="str">
        <f>HYPERLINK("http://tmmp-catalog.com.ua/katalog/1/14657/","фото")</f>
        <v>фото</v>
      </c>
      <c r="H833" s="22"/>
    </row>
    <row r="834" spans="1:8" ht="15" x14ac:dyDescent="0.2">
      <c r="A834" s="18"/>
      <c r="B834" s="19" t="s">
        <v>1713</v>
      </c>
      <c r="C834" s="20" t="s">
        <v>1714</v>
      </c>
      <c r="D834" s="2">
        <v>37</v>
      </c>
      <c r="E834" s="21"/>
      <c r="F834" s="2">
        <f t="shared" si="19"/>
        <v>0</v>
      </c>
      <c r="G834" s="3" t="str">
        <f>HYPERLINK("http://tmmp-catalog.com.ua/katalog/1/17811/","фото")</f>
        <v>фото</v>
      </c>
      <c r="H834" s="22"/>
    </row>
    <row r="835" spans="1:8" ht="15" x14ac:dyDescent="0.2">
      <c r="A835" s="18">
        <v>2000000000367</v>
      </c>
      <c r="B835" s="19" t="s">
        <v>1715</v>
      </c>
      <c r="C835" s="20" t="s">
        <v>1716</v>
      </c>
      <c r="D835" s="2">
        <v>22</v>
      </c>
      <c r="E835" s="21"/>
      <c r="F835" s="2">
        <f t="shared" si="19"/>
        <v>0</v>
      </c>
      <c r="G835" s="3" t="str">
        <f>HYPERLINK("http://tmmp-catalog.com.ua/katalog/1/14655/","фото")</f>
        <v>фото</v>
      </c>
      <c r="H835" s="22"/>
    </row>
    <row r="836" spans="1:8" ht="15" x14ac:dyDescent="0.2">
      <c r="A836" s="18">
        <v>2000000014982</v>
      </c>
      <c r="B836" s="19" t="s">
        <v>1717</v>
      </c>
      <c r="C836" s="20" t="s">
        <v>1718</v>
      </c>
      <c r="D836" s="2">
        <v>22</v>
      </c>
      <c r="E836" s="21"/>
      <c r="F836" s="2">
        <f t="shared" si="19"/>
        <v>0</v>
      </c>
      <c r="G836" s="3" t="str">
        <f>HYPERLINK("http://tmmp-catalog.com.ua/katalog/2/16631/","фото")</f>
        <v>фото</v>
      </c>
      <c r="H836" s="22"/>
    </row>
    <row r="837" spans="1:8" ht="15" x14ac:dyDescent="0.2">
      <c r="A837" s="18"/>
      <c r="B837" s="19" t="s">
        <v>1719</v>
      </c>
      <c r="C837" s="20" t="s">
        <v>1720</v>
      </c>
      <c r="D837" s="2">
        <v>20</v>
      </c>
      <c r="E837" s="21"/>
      <c r="F837" s="2">
        <f t="shared" si="19"/>
        <v>0</v>
      </c>
      <c r="G837" s="3" t="str">
        <f>HYPERLINK("http://tmmp-catalog.com.ua/katalog/37/18297/","фото")</f>
        <v>фото</v>
      </c>
      <c r="H837" s="22"/>
    </row>
    <row r="838" spans="1:8" ht="15" x14ac:dyDescent="0.2">
      <c r="A838" s="18">
        <v>2000000014975</v>
      </c>
      <c r="B838" s="19" t="s">
        <v>1721</v>
      </c>
      <c r="C838" s="20" t="s">
        <v>1722</v>
      </c>
      <c r="D838" s="2">
        <v>20</v>
      </c>
      <c r="E838" s="21"/>
      <c r="F838" s="2">
        <f t="shared" si="19"/>
        <v>0</v>
      </c>
      <c r="G838" s="3" t="str">
        <f>HYPERLINK("http://tmmp-catalog.com.ua/katalog/2/16630/","фото")</f>
        <v>фото</v>
      </c>
      <c r="H838" s="22"/>
    </row>
    <row r="839" spans="1:8" ht="15" x14ac:dyDescent="0.2">
      <c r="A839" s="18">
        <v>2000000000374</v>
      </c>
      <c r="B839" s="19" t="s">
        <v>1723</v>
      </c>
      <c r="C839" s="20" t="s">
        <v>1724</v>
      </c>
      <c r="D839" s="2">
        <v>20</v>
      </c>
      <c r="E839" s="21"/>
      <c r="F839" s="2">
        <f t="shared" si="19"/>
        <v>0</v>
      </c>
      <c r="G839" s="3" t="str">
        <f>HYPERLINK("http://tmmp-catalog.com.ua/katalog/1/14656/","фото")</f>
        <v>фото</v>
      </c>
      <c r="H839" s="22"/>
    </row>
    <row r="840" spans="1:8" ht="15" x14ac:dyDescent="0.2">
      <c r="A840" s="18">
        <v>2000000012360</v>
      </c>
      <c r="B840" s="19" t="s">
        <v>1725</v>
      </c>
      <c r="C840" s="20" t="s">
        <v>1726</v>
      </c>
      <c r="D840" s="2">
        <v>8</v>
      </c>
      <c r="E840" s="21"/>
      <c r="F840" s="2">
        <f t="shared" si="19"/>
        <v>0</v>
      </c>
      <c r="G840" s="3" t="str">
        <f>HYPERLINK("http://tmmp-catalog.com.ua/katalog/2/14841/","фото")</f>
        <v>фото</v>
      </c>
      <c r="H840" s="22"/>
    </row>
    <row r="841" spans="1:8" ht="15" x14ac:dyDescent="0.2">
      <c r="A841" s="18">
        <v>2000000015262</v>
      </c>
      <c r="B841" s="19" t="s">
        <v>1727</v>
      </c>
      <c r="C841" s="20" t="s">
        <v>1728</v>
      </c>
      <c r="D841" s="2">
        <v>6</v>
      </c>
      <c r="E841" s="21"/>
      <c r="F841" s="2">
        <f t="shared" si="19"/>
        <v>0</v>
      </c>
      <c r="G841" s="3" t="str">
        <f>HYPERLINK("http://tmmp-catalog.com.ua/katalog/2/16792/","фото")</f>
        <v>фото</v>
      </c>
      <c r="H841" s="22"/>
    </row>
    <row r="842" spans="1:8" ht="15" x14ac:dyDescent="0.2">
      <c r="A842" s="18">
        <v>2000000012377</v>
      </c>
      <c r="B842" s="19" t="s">
        <v>1729</v>
      </c>
      <c r="C842" s="20" t="s">
        <v>1730</v>
      </c>
      <c r="D842" s="2">
        <v>1.5</v>
      </c>
      <c r="E842" s="21"/>
      <c r="F842" s="2">
        <f t="shared" si="19"/>
        <v>0</v>
      </c>
      <c r="G842" s="3" t="str">
        <f>HYPERLINK("http://tmmp-catalog.com.ua/katalog/2/14842/","фото")</f>
        <v>фото</v>
      </c>
      <c r="H842" s="22"/>
    </row>
    <row r="843" spans="1:8" ht="15" x14ac:dyDescent="0.2">
      <c r="A843" s="18">
        <v>2000000014999</v>
      </c>
      <c r="B843" s="19" t="s">
        <v>1731</v>
      </c>
      <c r="C843" s="20" t="s">
        <v>1732</v>
      </c>
      <c r="D843" s="2">
        <v>0.8</v>
      </c>
      <c r="E843" s="21"/>
      <c r="F843" s="2">
        <f t="shared" si="19"/>
        <v>0</v>
      </c>
      <c r="G843" s="3" t="str">
        <f>HYPERLINK("http://tmmp-catalog.com.ua/katalog/2/16632/","фото")</f>
        <v>фото</v>
      </c>
      <c r="H843" s="22"/>
    </row>
    <row r="844" spans="1:8" ht="15" x14ac:dyDescent="0.2">
      <c r="A844" s="18">
        <v>2000000000398</v>
      </c>
      <c r="B844" s="19" t="s">
        <v>1733</v>
      </c>
      <c r="C844" s="20" t="s">
        <v>1734</v>
      </c>
      <c r="D844" s="2">
        <v>0.4</v>
      </c>
      <c r="E844" s="21"/>
      <c r="F844" s="2">
        <f t="shared" ref="F844:F907" si="20">cena*zakaz</f>
        <v>0</v>
      </c>
      <c r="G844" s="3" t="str">
        <f>HYPERLINK("http://tmmp-catalog.com.ua/katalog/1/14658/","фото")</f>
        <v>фото</v>
      </c>
      <c r="H844" s="22"/>
    </row>
    <row r="845" spans="1:8" ht="15" x14ac:dyDescent="0.2">
      <c r="A845" s="18">
        <v>2000000000824</v>
      </c>
      <c r="B845" s="19" t="s">
        <v>1735</v>
      </c>
      <c r="C845" s="20" t="s">
        <v>1736</v>
      </c>
      <c r="D845" s="2">
        <v>2</v>
      </c>
      <c r="E845" s="21"/>
      <c r="F845" s="2">
        <f t="shared" si="20"/>
        <v>0</v>
      </c>
      <c r="G845" s="3" t="str">
        <f>HYPERLINK("http://tmmp-catalog.com.ua/katalog/1/14701/","фото")</f>
        <v>фото</v>
      </c>
      <c r="H845" s="22"/>
    </row>
    <row r="846" spans="1:8" ht="15" x14ac:dyDescent="0.2">
      <c r="A846" s="18">
        <v>2000000012384</v>
      </c>
      <c r="B846" s="19" t="s">
        <v>1737</v>
      </c>
      <c r="C846" s="20" t="s">
        <v>1738</v>
      </c>
      <c r="D846" s="2">
        <v>0.4</v>
      </c>
      <c r="E846" s="21"/>
      <c r="F846" s="2">
        <f t="shared" si="20"/>
        <v>0</v>
      </c>
      <c r="G846" s="3" t="str">
        <f>HYPERLINK("http://tmmp-catalog.com.ua/katalog/2/14843/","фото")</f>
        <v>фото</v>
      </c>
      <c r="H846" s="22"/>
    </row>
    <row r="847" spans="1:8" ht="15" x14ac:dyDescent="0.2">
      <c r="A847" s="18"/>
      <c r="B847" s="19" t="s">
        <v>1739</v>
      </c>
      <c r="C847" s="20" t="s">
        <v>1740</v>
      </c>
      <c r="D847" s="2">
        <v>1</v>
      </c>
      <c r="E847" s="21"/>
      <c r="F847" s="2">
        <f t="shared" si="20"/>
        <v>0</v>
      </c>
      <c r="G847" s="3" t="str">
        <f>HYPERLINK("http://tmmp-catalog.com.ua/katalog/37/18310/","фото")</f>
        <v>фото</v>
      </c>
      <c r="H847" s="22"/>
    </row>
    <row r="848" spans="1:8" ht="15" x14ac:dyDescent="0.2">
      <c r="A848" s="18">
        <v>2000000000428</v>
      </c>
      <c r="B848" s="19" t="s">
        <v>1741</v>
      </c>
      <c r="C848" s="20" t="s">
        <v>1742</v>
      </c>
      <c r="D848" s="2">
        <v>3.2</v>
      </c>
      <c r="E848" s="21"/>
      <c r="F848" s="2">
        <f t="shared" si="20"/>
        <v>0</v>
      </c>
      <c r="G848" s="3" t="str">
        <f>HYPERLINK("http://tmmp-catalog.com.ua/katalog/1/14661/","фото")</f>
        <v>фото</v>
      </c>
      <c r="H848" s="22"/>
    </row>
    <row r="849" spans="1:8" ht="15" x14ac:dyDescent="0.2">
      <c r="A849" s="18">
        <v>2000000012414</v>
      </c>
      <c r="B849" s="19" t="s">
        <v>1743</v>
      </c>
      <c r="C849" s="20" t="s">
        <v>1744</v>
      </c>
      <c r="D849" s="2">
        <v>2.85</v>
      </c>
      <c r="E849" s="21"/>
      <c r="F849" s="2">
        <f t="shared" si="20"/>
        <v>0</v>
      </c>
      <c r="G849" s="3" t="str">
        <f>HYPERLINK("http://tmmp-catalog.com.ua/katalog/2/14846/","фото")</f>
        <v>фото</v>
      </c>
      <c r="H849" s="22"/>
    </row>
    <row r="850" spans="1:8" ht="15" x14ac:dyDescent="0.2">
      <c r="A850" s="18">
        <v>2000000000442</v>
      </c>
      <c r="B850" s="19" t="s">
        <v>1745</v>
      </c>
      <c r="C850" s="20" t="s">
        <v>1746</v>
      </c>
      <c r="D850" s="2">
        <v>3.4</v>
      </c>
      <c r="E850" s="21"/>
      <c r="F850" s="2">
        <f t="shared" si="20"/>
        <v>0</v>
      </c>
      <c r="G850" s="3" t="str">
        <f>HYPERLINK("http://tmmp-catalog.com.ua/katalog/1/14663/","фото")</f>
        <v>фото</v>
      </c>
      <c r="H850" s="22"/>
    </row>
    <row r="851" spans="1:8" ht="15" x14ac:dyDescent="0.2">
      <c r="A851" s="18">
        <v>2000000000459</v>
      </c>
      <c r="B851" s="19" t="s">
        <v>1747</v>
      </c>
      <c r="C851" s="20" t="s">
        <v>1748</v>
      </c>
      <c r="D851" s="2">
        <v>3.2</v>
      </c>
      <c r="E851" s="21"/>
      <c r="F851" s="2">
        <f t="shared" si="20"/>
        <v>0</v>
      </c>
      <c r="G851" s="3" t="str">
        <f>HYPERLINK("http://tmmp-catalog.com.ua/katalog/1/14664/","фото")</f>
        <v>фото</v>
      </c>
      <c r="H851" s="22"/>
    </row>
    <row r="852" spans="1:8" ht="15" x14ac:dyDescent="0.2">
      <c r="A852" s="18">
        <v>2000000000466</v>
      </c>
      <c r="B852" s="19" t="s">
        <v>1749</v>
      </c>
      <c r="C852" s="20" t="s">
        <v>1750</v>
      </c>
      <c r="D852" s="2">
        <v>11</v>
      </c>
      <c r="E852" s="21"/>
      <c r="F852" s="2">
        <f t="shared" si="20"/>
        <v>0</v>
      </c>
      <c r="G852" s="3" t="str">
        <f>HYPERLINK("http://tmmp-catalog.com.ua/katalog/1/14665/","фото")</f>
        <v>фото</v>
      </c>
      <c r="H852" s="22"/>
    </row>
    <row r="853" spans="1:8" ht="15" x14ac:dyDescent="0.2">
      <c r="A853" s="18"/>
      <c r="B853" s="19" t="s">
        <v>1751</v>
      </c>
      <c r="C853" s="20" t="s">
        <v>1752</v>
      </c>
      <c r="D853" s="2">
        <v>14.5</v>
      </c>
      <c r="E853" s="21"/>
      <c r="F853" s="2">
        <f t="shared" si="20"/>
        <v>0</v>
      </c>
      <c r="G853" s="3" t="str">
        <f>HYPERLINK("http://tmmp-catalog.com.ua/katalog/1/18100/","фото")</f>
        <v>фото</v>
      </c>
      <c r="H853" s="22"/>
    </row>
    <row r="854" spans="1:8" ht="15" x14ac:dyDescent="0.2">
      <c r="A854" s="18">
        <v>2000000012445</v>
      </c>
      <c r="B854" s="19" t="s">
        <v>1753</v>
      </c>
      <c r="C854" s="20" t="s">
        <v>1754</v>
      </c>
      <c r="D854" s="2">
        <v>17</v>
      </c>
      <c r="E854" s="21"/>
      <c r="F854" s="2">
        <f t="shared" si="20"/>
        <v>0</v>
      </c>
      <c r="G854" s="3" t="str">
        <f>HYPERLINK("http://tmmp-catalog.com.ua/katalog/2/14849/","фото")</f>
        <v>фото</v>
      </c>
      <c r="H854" s="22"/>
    </row>
    <row r="855" spans="1:8" ht="15" x14ac:dyDescent="0.2">
      <c r="A855" s="18"/>
      <c r="B855" s="19" t="s">
        <v>1755</v>
      </c>
      <c r="C855" s="20" t="s">
        <v>1756</v>
      </c>
      <c r="D855" s="2">
        <v>31</v>
      </c>
      <c r="E855" s="21"/>
      <c r="F855" s="2">
        <f t="shared" si="20"/>
        <v>0</v>
      </c>
      <c r="G855" s="3" t="str">
        <f>HYPERLINK("http://tmmp-catalog.com.ua/katalog/37/18566/","фото")</f>
        <v>фото</v>
      </c>
      <c r="H855" s="22"/>
    </row>
    <row r="856" spans="1:8" ht="15" x14ac:dyDescent="0.2">
      <c r="A856" s="18"/>
      <c r="B856" s="19" t="s">
        <v>1757</v>
      </c>
      <c r="C856" s="20" t="s">
        <v>1758</v>
      </c>
      <c r="D856" s="2">
        <v>2.5</v>
      </c>
      <c r="E856" s="21"/>
      <c r="F856" s="2">
        <f t="shared" si="20"/>
        <v>0</v>
      </c>
      <c r="G856" s="3" t="str">
        <f>HYPERLINK("http://tmmp-catalog.com.ua/katalog/2/17525/","фото")</f>
        <v>фото</v>
      </c>
      <c r="H856" s="22"/>
    </row>
    <row r="857" spans="1:8" ht="15" x14ac:dyDescent="0.2">
      <c r="A857" s="18">
        <v>2000000000480</v>
      </c>
      <c r="B857" s="19" t="s">
        <v>1759</v>
      </c>
      <c r="C857" s="20" t="s">
        <v>1760</v>
      </c>
      <c r="D857" s="2">
        <v>0.8</v>
      </c>
      <c r="E857" s="21"/>
      <c r="F857" s="2">
        <f t="shared" si="20"/>
        <v>0</v>
      </c>
      <c r="G857" s="3" t="str">
        <f>HYPERLINK("http://tmmp-catalog.com.ua/katalog/1/14667/","фото")</f>
        <v>фото</v>
      </c>
      <c r="H857" s="22"/>
    </row>
    <row r="858" spans="1:8" ht="15" x14ac:dyDescent="0.2">
      <c r="A858" s="18">
        <v>2000000000497</v>
      </c>
      <c r="B858" s="19" t="s">
        <v>1761</v>
      </c>
      <c r="C858" s="20" t="s">
        <v>1762</v>
      </c>
      <c r="D858" s="2">
        <v>1.5</v>
      </c>
      <c r="E858" s="21"/>
      <c r="F858" s="2">
        <f t="shared" si="20"/>
        <v>0</v>
      </c>
      <c r="G858" s="3" t="str">
        <f>HYPERLINK("http://tmmp-catalog.com.ua/katalog/1/14668/","фото")</f>
        <v>фото</v>
      </c>
      <c r="H858" s="22"/>
    </row>
    <row r="859" spans="1:8" ht="15" x14ac:dyDescent="0.2">
      <c r="A859" s="18">
        <v>2000000012483</v>
      </c>
      <c r="B859" s="19" t="s">
        <v>1763</v>
      </c>
      <c r="C859" s="20" t="s">
        <v>1764</v>
      </c>
      <c r="D859" s="2">
        <v>1</v>
      </c>
      <c r="E859" s="21"/>
      <c r="F859" s="2">
        <f t="shared" si="20"/>
        <v>0</v>
      </c>
      <c r="G859" s="3" t="str">
        <f>HYPERLINK("http://tmmp-catalog.com.ua/katalog/2/14853/","фото")</f>
        <v>фото</v>
      </c>
      <c r="H859" s="22"/>
    </row>
    <row r="860" spans="1:8" ht="15" x14ac:dyDescent="0.2">
      <c r="A860" s="18"/>
      <c r="B860" s="19" t="s">
        <v>1765</v>
      </c>
      <c r="C860" s="20" t="s">
        <v>1766</v>
      </c>
      <c r="D860" s="2">
        <v>1</v>
      </c>
      <c r="E860" s="21"/>
      <c r="F860" s="2">
        <f t="shared" si="20"/>
        <v>0</v>
      </c>
      <c r="G860" s="3" t="str">
        <f>HYPERLINK("http://tmmp-catalog.com.ua/katalog/37/18660/","фото")</f>
        <v>фото</v>
      </c>
      <c r="H860" s="22"/>
    </row>
    <row r="861" spans="1:8" ht="15" x14ac:dyDescent="0.2">
      <c r="A861" s="18">
        <v>2000000015064</v>
      </c>
      <c r="B861" s="19" t="s">
        <v>1767</v>
      </c>
      <c r="C861" s="20" t="s">
        <v>1768</v>
      </c>
      <c r="D861" s="2">
        <v>0.65</v>
      </c>
      <c r="E861" s="21"/>
      <c r="F861" s="2">
        <f t="shared" si="20"/>
        <v>0</v>
      </c>
      <c r="G861" s="3" t="str">
        <f>HYPERLINK("http://tmmp-catalog.com.ua/katalog/2/16772/","фото")</f>
        <v>фото</v>
      </c>
      <c r="H861" s="22"/>
    </row>
    <row r="862" spans="1:8" ht="15" x14ac:dyDescent="0.2">
      <c r="A862" s="18">
        <v>2000000015071</v>
      </c>
      <c r="B862" s="19" t="s">
        <v>1769</v>
      </c>
      <c r="C862" s="20" t="s">
        <v>1770</v>
      </c>
      <c r="D862" s="2">
        <v>0.4</v>
      </c>
      <c r="E862" s="21"/>
      <c r="F862" s="2">
        <f t="shared" si="20"/>
        <v>0</v>
      </c>
      <c r="G862" s="3" t="str">
        <f>HYPERLINK("http://tmmp-catalog.com.ua/katalog/2/16773/","фото")</f>
        <v>фото</v>
      </c>
      <c r="H862" s="22"/>
    </row>
    <row r="863" spans="1:8" ht="15" x14ac:dyDescent="0.2">
      <c r="A863" s="18">
        <v>2000000015057</v>
      </c>
      <c r="B863" s="19" t="s">
        <v>1771</v>
      </c>
      <c r="C863" s="20" t="s">
        <v>1772</v>
      </c>
      <c r="D863" s="2">
        <v>0.25</v>
      </c>
      <c r="E863" s="21"/>
      <c r="F863" s="2">
        <f t="shared" si="20"/>
        <v>0</v>
      </c>
      <c r="G863" s="3" t="str">
        <f>HYPERLINK("http://tmmp-catalog.com.ua/katalog/2/16771/","фото")</f>
        <v>фото</v>
      </c>
      <c r="H863" s="22"/>
    </row>
    <row r="864" spans="1:8" ht="15" x14ac:dyDescent="0.2">
      <c r="A864" s="18">
        <v>2000000015040</v>
      </c>
      <c r="B864" s="19" t="s">
        <v>1773</v>
      </c>
      <c r="C864" s="20" t="s">
        <v>1774</v>
      </c>
      <c r="D864" s="2">
        <v>0.3</v>
      </c>
      <c r="E864" s="21"/>
      <c r="F864" s="2">
        <f t="shared" si="20"/>
        <v>0</v>
      </c>
      <c r="G864" s="3" t="str">
        <f>HYPERLINK("http://tmmp-catalog.com.ua/katalog/2/16770/","фото")</f>
        <v>фото</v>
      </c>
      <c r="H864" s="22"/>
    </row>
    <row r="865" spans="1:8" ht="15" x14ac:dyDescent="0.2">
      <c r="A865" s="18">
        <v>2000000001869</v>
      </c>
      <c r="B865" s="19" t="s">
        <v>1775</v>
      </c>
      <c r="C865" s="20" t="s">
        <v>1776</v>
      </c>
      <c r="D865" s="2">
        <v>0.25</v>
      </c>
      <c r="E865" s="21"/>
      <c r="F865" s="2">
        <f t="shared" si="20"/>
        <v>0</v>
      </c>
      <c r="G865" s="3" t="str">
        <f>HYPERLINK("http://tmmp-catalog.com.ua/katalog/1/16810/","фото")</f>
        <v>фото</v>
      </c>
      <c r="H865" s="22"/>
    </row>
    <row r="866" spans="1:8" ht="15" x14ac:dyDescent="0.2">
      <c r="A866" s="18">
        <v>2000000015033</v>
      </c>
      <c r="B866" s="19" t="s">
        <v>1777</v>
      </c>
      <c r="C866" s="20" t="s">
        <v>1778</v>
      </c>
      <c r="D866" s="2">
        <v>0.25</v>
      </c>
      <c r="E866" s="21"/>
      <c r="F866" s="2">
        <f t="shared" si="20"/>
        <v>0</v>
      </c>
      <c r="G866" s="3" t="str">
        <f>HYPERLINK("http://tmmp-catalog.com.ua/katalog/2/16769/","фото")</f>
        <v>фото</v>
      </c>
      <c r="H866" s="22"/>
    </row>
    <row r="867" spans="1:8" ht="15" x14ac:dyDescent="0.2">
      <c r="A867" s="18">
        <v>2000000013015</v>
      </c>
      <c r="B867" s="19" t="s">
        <v>1779</v>
      </c>
      <c r="C867" s="20" t="s">
        <v>1780</v>
      </c>
      <c r="D867" s="2">
        <v>1.8</v>
      </c>
      <c r="E867" s="21"/>
      <c r="F867" s="2">
        <f t="shared" si="20"/>
        <v>0</v>
      </c>
      <c r="G867" s="3" t="str">
        <f>HYPERLINK("http://tmmp-catalog.com.ua/katalog/2/14908/","фото")</f>
        <v>фото</v>
      </c>
      <c r="H867" s="22"/>
    </row>
    <row r="868" spans="1:8" ht="15" x14ac:dyDescent="0.2">
      <c r="A868" s="18">
        <v>2000000000831</v>
      </c>
      <c r="B868" s="19" t="s">
        <v>1781</v>
      </c>
      <c r="C868" s="20" t="s">
        <v>1782</v>
      </c>
      <c r="D868" s="2">
        <v>1.2</v>
      </c>
      <c r="E868" s="21"/>
      <c r="F868" s="2">
        <f t="shared" si="20"/>
        <v>0</v>
      </c>
      <c r="G868" s="3" t="str">
        <f>HYPERLINK("http://tmmp-catalog.com.ua/katalog/1/14702/","фото")</f>
        <v>фото</v>
      </c>
      <c r="H868" s="22"/>
    </row>
    <row r="869" spans="1:8" ht="15" x14ac:dyDescent="0.2">
      <c r="A869" s="18">
        <v>2000000012506</v>
      </c>
      <c r="B869" s="19" t="s">
        <v>1783</v>
      </c>
      <c r="C869" s="20" t="s">
        <v>1784</v>
      </c>
      <c r="D869" s="2">
        <v>17</v>
      </c>
      <c r="E869" s="21"/>
      <c r="F869" s="2">
        <f t="shared" si="20"/>
        <v>0</v>
      </c>
      <c r="G869" s="3" t="str">
        <f>HYPERLINK("http://tmmp-catalog.com.ua/katalog/2/14856/","фото")</f>
        <v>фото</v>
      </c>
      <c r="H869" s="22"/>
    </row>
    <row r="870" spans="1:8" ht="15" x14ac:dyDescent="0.2">
      <c r="A870" s="18">
        <v>2000000000503</v>
      </c>
      <c r="B870" s="19" t="s">
        <v>1785</v>
      </c>
      <c r="C870" s="20" t="s">
        <v>1786</v>
      </c>
      <c r="D870" s="2">
        <v>30</v>
      </c>
      <c r="E870" s="21"/>
      <c r="F870" s="2">
        <f t="shared" si="20"/>
        <v>0</v>
      </c>
      <c r="G870" s="3" t="str">
        <f>HYPERLINK("http://tmmp-catalog.com.ua/katalog/1/14669/","фото")</f>
        <v>фото</v>
      </c>
      <c r="H870" s="22"/>
    </row>
    <row r="871" spans="1:8" ht="15" x14ac:dyDescent="0.2">
      <c r="A871" s="18">
        <v>2000000035628</v>
      </c>
      <c r="B871" s="19" t="s">
        <v>1787</v>
      </c>
      <c r="C871" s="20" t="s">
        <v>1788</v>
      </c>
      <c r="D871" s="2">
        <v>19</v>
      </c>
      <c r="E871" s="21"/>
      <c r="F871" s="2">
        <f t="shared" si="20"/>
        <v>0</v>
      </c>
      <c r="G871" s="3" t="str">
        <f>HYPERLINK("http://tmmp-catalog.com.ua/katalog/2/16478/","фото")</f>
        <v>фото</v>
      </c>
      <c r="H871" s="22"/>
    </row>
    <row r="872" spans="1:8" ht="15" x14ac:dyDescent="0.2">
      <c r="A872" s="18">
        <v>2000000012520</v>
      </c>
      <c r="B872" s="19" t="s">
        <v>1789</v>
      </c>
      <c r="C872" s="20" t="s">
        <v>1790</v>
      </c>
      <c r="D872" s="2">
        <v>15</v>
      </c>
      <c r="E872" s="21"/>
      <c r="F872" s="2">
        <f t="shared" si="20"/>
        <v>0</v>
      </c>
      <c r="G872" s="3" t="str">
        <f>HYPERLINK("http://tmmp-catalog.com.ua/katalog/2/14858/","фото")</f>
        <v>фото</v>
      </c>
      <c r="H872" s="22"/>
    </row>
    <row r="873" spans="1:8" ht="15" x14ac:dyDescent="0.2">
      <c r="A873" s="18">
        <v>2000000012537</v>
      </c>
      <c r="B873" s="19" t="s">
        <v>1791</v>
      </c>
      <c r="C873" s="20" t="s">
        <v>1792</v>
      </c>
      <c r="D873" s="2">
        <v>5.3</v>
      </c>
      <c r="E873" s="21"/>
      <c r="F873" s="2">
        <f t="shared" si="20"/>
        <v>0</v>
      </c>
      <c r="G873" s="3" t="str">
        <f>HYPERLINK("http://tmmp-catalog.com.ua/katalog/2/14859/","фото")</f>
        <v>фото</v>
      </c>
      <c r="H873" s="22"/>
    </row>
    <row r="874" spans="1:8" ht="15" x14ac:dyDescent="0.2">
      <c r="A874" s="18">
        <v>2000000000510</v>
      </c>
      <c r="B874" s="19" t="s">
        <v>1793</v>
      </c>
      <c r="C874" s="20" t="s">
        <v>1794</v>
      </c>
      <c r="D874" s="2">
        <v>11</v>
      </c>
      <c r="E874" s="21"/>
      <c r="F874" s="2">
        <f t="shared" si="20"/>
        <v>0</v>
      </c>
      <c r="G874" s="3" t="str">
        <f>HYPERLINK("http://tmmp-catalog.com.ua/katalog/1/14670/","фото")</f>
        <v>фото</v>
      </c>
      <c r="H874" s="22"/>
    </row>
    <row r="875" spans="1:8" ht="15" x14ac:dyDescent="0.2">
      <c r="A875" s="18">
        <v>2000000001951</v>
      </c>
      <c r="B875" s="19" t="s">
        <v>1795</v>
      </c>
      <c r="C875" s="20" t="s">
        <v>1796</v>
      </c>
      <c r="D875" s="2">
        <v>1</v>
      </c>
      <c r="E875" s="21"/>
      <c r="F875" s="2">
        <f t="shared" si="20"/>
        <v>0</v>
      </c>
      <c r="G875" s="3" t="str">
        <f>HYPERLINK("http://tmmp-catalog.com.ua/katalog/1/16820/","фото")</f>
        <v>фото</v>
      </c>
      <c r="H875" s="22"/>
    </row>
    <row r="876" spans="1:8" ht="15" x14ac:dyDescent="0.2">
      <c r="A876" s="18">
        <v>2000000012582</v>
      </c>
      <c r="B876" s="19" t="s">
        <v>1797</v>
      </c>
      <c r="C876" s="20" t="s">
        <v>1798</v>
      </c>
      <c r="D876" s="2">
        <v>2.6</v>
      </c>
      <c r="E876" s="21"/>
      <c r="F876" s="2">
        <f t="shared" si="20"/>
        <v>0</v>
      </c>
      <c r="G876" s="3" t="str">
        <f>HYPERLINK("http://tmmp-catalog.com.ua/katalog/2/14864/","фото")</f>
        <v>фото</v>
      </c>
      <c r="H876" s="22"/>
    </row>
    <row r="877" spans="1:8" ht="15" x14ac:dyDescent="0.2">
      <c r="A877" s="18">
        <v>2000000012575</v>
      </c>
      <c r="B877" s="19" t="s">
        <v>1799</v>
      </c>
      <c r="C877" s="20" t="s">
        <v>1800</v>
      </c>
      <c r="D877" s="2">
        <v>2</v>
      </c>
      <c r="E877" s="21"/>
      <c r="F877" s="2">
        <f t="shared" si="20"/>
        <v>0</v>
      </c>
      <c r="G877" s="3" t="str">
        <f>HYPERLINK("http://tmmp-catalog.com.ua/katalog/2/14863/","фото")</f>
        <v>фото</v>
      </c>
      <c r="H877" s="22"/>
    </row>
    <row r="878" spans="1:8" ht="15" x14ac:dyDescent="0.2">
      <c r="A878" s="18">
        <v>2000000000534</v>
      </c>
      <c r="B878" s="19" t="s">
        <v>1801</v>
      </c>
      <c r="C878" s="20" t="s">
        <v>1802</v>
      </c>
      <c r="D878" s="2">
        <v>0.9</v>
      </c>
      <c r="E878" s="21"/>
      <c r="F878" s="2">
        <f t="shared" si="20"/>
        <v>0</v>
      </c>
      <c r="G878" s="3" t="str">
        <f>HYPERLINK("http://tmmp-catalog.com.ua/katalog/1/14672/","фото")</f>
        <v>фото</v>
      </c>
      <c r="H878" s="22"/>
    </row>
    <row r="879" spans="1:8" ht="15" x14ac:dyDescent="0.2">
      <c r="A879" s="18">
        <v>2000000000541</v>
      </c>
      <c r="B879" s="19" t="s">
        <v>1803</v>
      </c>
      <c r="C879" s="20" t="s">
        <v>1804</v>
      </c>
      <c r="D879" s="2">
        <v>0.95</v>
      </c>
      <c r="E879" s="21"/>
      <c r="F879" s="2">
        <f t="shared" si="20"/>
        <v>0</v>
      </c>
      <c r="G879" s="3" t="str">
        <f>HYPERLINK("http://tmmp-catalog.com.ua/katalog/1/14673/","фото")</f>
        <v>фото</v>
      </c>
      <c r="H879" s="22"/>
    </row>
    <row r="880" spans="1:8" ht="15" x14ac:dyDescent="0.2">
      <c r="A880" s="18">
        <v>2000000012629</v>
      </c>
      <c r="B880" s="19" t="s">
        <v>1805</v>
      </c>
      <c r="C880" s="20" t="s">
        <v>1806</v>
      </c>
      <c r="D880" s="2">
        <v>0.7</v>
      </c>
      <c r="E880" s="21"/>
      <c r="F880" s="2">
        <f t="shared" si="20"/>
        <v>0</v>
      </c>
      <c r="G880" s="3" t="str">
        <f>HYPERLINK("http://tmmp-catalog.com.ua/katalog/2/14868/","фото")</f>
        <v>фото</v>
      </c>
      <c r="H880" s="22"/>
    </row>
    <row r="881" spans="1:8" ht="15" x14ac:dyDescent="0.2">
      <c r="A881" s="18"/>
      <c r="B881" s="19" t="s">
        <v>1807</v>
      </c>
      <c r="C881" s="20" t="s">
        <v>1808</v>
      </c>
      <c r="D881" s="2">
        <v>0.5</v>
      </c>
      <c r="E881" s="21"/>
      <c r="F881" s="2">
        <f t="shared" si="20"/>
        <v>0</v>
      </c>
      <c r="G881" s="3" t="str">
        <f>HYPERLINK("http://tmmp-catalog.com.ua/katalog/37/18338/","фото")</f>
        <v>фото</v>
      </c>
      <c r="H881" s="22"/>
    </row>
    <row r="882" spans="1:8" ht="15" x14ac:dyDescent="0.2">
      <c r="A882" s="18"/>
      <c r="B882" s="19" t="s">
        <v>1809</v>
      </c>
      <c r="C882" s="20" t="s">
        <v>1810</v>
      </c>
      <c r="D882" s="2">
        <v>0.5</v>
      </c>
      <c r="E882" s="21"/>
      <c r="F882" s="2">
        <f t="shared" si="20"/>
        <v>0</v>
      </c>
      <c r="G882" s="3" t="str">
        <f>HYPERLINK("http://tmmp-catalog.com.ua/katalog/37/18339/","фото")</f>
        <v>фото</v>
      </c>
      <c r="H882" s="22"/>
    </row>
    <row r="883" spans="1:8" ht="15" x14ac:dyDescent="0.2">
      <c r="A883" s="18"/>
      <c r="B883" s="19" t="s">
        <v>1811</v>
      </c>
      <c r="C883" s="20" t="s">
        <v>1812</v>
      </c>
      <c r="D883" s="2">
        <v>0.9</v>
      </c>
      <c r="E883" s="21"/>
      <c r="F883" s="2">
        <f t="shared" si="20"/>
        <v>0</v>
      </c>
      <c r="G883" s="3" t="str">
        <f>HYPERLINK("http://tmmp-catalog.com.ua/katalog/37/18340/","фото")</f>
        <v>фото</v>
      </c>
      <c r="H883" s="22"/>
    </row>
    <row r="884" spans="1:8" ht="15" x14ac:dyDescent="0.2">
      <c r="A884" s="18">
        <v>2000000012612</v>
      </c>
      <c r="B884" s="19" t="s">
        <v>1813</v>
      </c>
      <c r="C884" s="20" t="s">
        <v>1814</v>
      </c>
      <c r="D884" s="2">
        <v>1.3</v>
      </c>
      <c r="E884" s="21"/>
      <c r="F884" s="2">
        <f t="shared" si="20"/>
        <v>0</v>
      </c>
      <c r="G884" s="3" t="str">
        <f>HYPERLINK("http://tmmp-catalog.com.ua/katalog/2/14867/","фото")</f>
        <v>фото</v>
      </c>
      <c r="H884" s="22"/>
    </row>
    <row r="885" spans="1:8" ht="15" x14ac:dyDescent="0.2">
      <c r="A885" s="18"/>
      <c r="B885" s="19" t="s">
        <v>1815</v>
      </c>
      <c r="C885" s="20" t="s">
        <v>1816</v>
      </c>
      <c r="D885" s="2">
        <v>0.9</v>
      </c>
      <c r="E885" s="21"/>
      <c r="F885" s="2">
        <f t="shared" si="20"/>
        <v>0</v>
      </c>
      <c r="G885" s="3" t="str">
        <f>HYPERLINK("http://tmmp-catalog.com.ua/katalog/37/18341/","фото")</f>
        <v>фото</v>
      </c>
      <c r="H885" s="22"/>
    </row>
    <row r="886" spans="1:8" ht="15" x14ac:dyDescent="0.2">
      <c r="A886" s="18"/>
      <c r="B886" s="19" t="s">
        <v>1817</v>
      </c>
      <c r="C886" s="20" t="s">
        <v>1818</v>
      </c>
      <c r="D886" s="2">
        <v>0.5</v>
      </c>
      <c r="E886" s="21"/>
      <c r="F886" s="2">
        <f t="shared" si="20"/>
        <v>0</v>
      </c>
      <c r="G886" s="3" t="str">
        <f>HYPERLINK("http://tmmp-catalog.com.ua/katalog/37/18342/","фото")</f>
        <v>фото</v>
      </c>
      <c r="H886" s="22"/>
    </row>
    <row r="887" spans="1:8" ht="15" x14ac:dyDescent="0.2">
      <c r="A887" s="18"/>
      <c r="B887" s="19" t="s">
        <v>1819</v>
      </c>
      <c r="C887" s="20" t="s">
        <v>1820</v>
      </c>
      <c r="D887" s="2">
        <v>0.65</v>
      </c>
      <c r="E887" s="21"/>
      <c r="F887" s="2">
        <f t="shared" si="20"/>
        <v>0</v>
      </c>
      <c r="G887" s="3" t="str">
        <f>HYPERLINK("http://tmmp-catalog.com.ua/katalog/37/18343/","фото")</f>
        <v>фото</v>
      </c>
      <c r="H887" s="22"/>
    </row>
    <row r="888" spans="1:8" ht="15" x14ac:dyDescent="0.2">
      <c r="A888" s="18"/>
      <c r="B888" s="19" t="s">
        <v>1821</v>
      </c>
      <c r="C888" s="20" t="s">
        <v>1822</v>
      </c>
      <c r="D888" s="2">
        <v>0.8</v>
      </c>
      <c r="E888" s="21"/>
      <c r="F888" s="2">
        <f t="shared" si="20"/>
        <v>0</v>
      </c>
      <c r="G888" s="3" t="str">
        <f>HYPERLINK("http://tmmp-catalog.com.ua/katalog/37/18344/","фото")</f>
        <v>фото</v>
      </c>
      <c r="H888" s="22"/>
    </row>
    <row r="889" spans="1:8" ht="15" x14ac:dyDescent="0.2">
      <c r="A889" s="18"/>
      <c r="B889" s="19" t="s">
        <v>1823</v>
      </c>
      <c r="C889" s="20" t="s">
        <v>1824</v>
      </c>
      <c r="D889" s="2">
        <v>0.9</v>
      </c>
      <c r="E889" s="21"/>
      <c r="F889" s="2">
        <f t="shared" si="20"/>
        <v>0</v>
      </c>
      <c r="G889" s="3" t="str">
        <f>HYPERLINK("http://tmmp-catalog.com.ua/katalog/37/18346/","фото")</f>
        <v>фото</v>
      </c>
      <c r="H889" s="22"/>
    </row>
    <row r="890" spans="1:8" ht="15" x14ac:dyDescent="0.2">
      <c r="A890" s="18">
        <v>2000000012728</v>
      </c>
      <c r="B890" s="19" t="s">
        <v>1825</v>
      </c>
      <c r="C890" s="20" t="s">
        <v>1826</v>
      </c>
      <c r="D890" s="2">
        <v>1.5</v>
      </c>
      <c r="E890" s="21"/>
      <c r="F890" s="2">
        <f t="shared" si="20"/>
        <v>0</v>
      </c>
      <c r="G890" s="3" t="str">
        <f>HYPERLINK("http://tmmp-catalog.com.ua/katalog/2/14878/","фото")</f>
        <v>фото</v>
      </c>
      <c r="H890" s="22"/>
    </row>
    <row r="891" spans="1:8" ht="15" x14ac:dyDescent="0.2">
      <c r="A891" s="18"/>
      <c r="B891" s="19" t="s">
        <v>1827</v>
      </c>
      <c r="C891" s="20" t="s">
        <v>1828</v>
      </c>
      <c r="D891" s="2">
        <v>0.9</v>
      </c>
      <c r="E891" s="21"/>
      <c r="F891" s="2">
        <f t="shared" si="20"/>
        <v>0</v>
      </c>
      <c r="G891" s="3" t="str">
        <f>HYPERLINK("http://tmmp-catalog.com.ua/katalog/37/18347/","фото")</f>
        <v>фото</v>
      </c>
      <c r="H891" s="22"/>
    </row>
    <row r="892" spans="1:8" ht="15" x14ac:dyDescent="0.2">
      <c r="A892" s="18">
        <v>2000000012735</v>
      </c>
      <c r="B892" s="19" t="s">
        <v>1829</v>
      </c>
      <c r="C892" s="20" t="s">
        <v>1830</v>
      </c>
      <c r="D892" s="2">
        <v>1</v>
      </c>
      <c r="E892" s="21"/>
      <c r="F892" s="2">
        <f t="shared" si="20"/>
        <v>0</v>
      </c>
      <c r="G892" s="3" t="str">
        <f>HYPERLINK("http://tmmp-catalog.com.ua/katalog/2/14879/","фото")</f>
        <v>фото</v>
      </c>
      <c r="H892" s="22"/>
    </row>
    <row r="893" spans="1:8" ht="15" x14ac:dyDescent="0.2">
      <c r="A893" s="18"/>
      <c r="B893" s="19" t="s">
        <v>1831</v>
      </c>
      <c r="C893" s="20" t="s">
        <v>1832</v>
      </c>
      <c r="D893" s="2">
        <v>0.5</v>
      </c>
      <c r="E893" s="21"/>
      <c r="F893" s="2">
        <f t="shared" si="20"/>
        <v>0</v>
      </c>
      <c r="G893" s="3" t="str">
        <f>HYPERLINK("http://tmmp-catalog.com.ua/katalog/37/18348/","фото")</f>
        <v>фото</v>
      </c>
      <c r="H893" s="22"/>
    </row>
    <row r="894" spans="1:8" ht="15" x14ac:dyDescent="0.2">
      <c r="A894" s="18"/>
      <c r="B894" s="19" t="s">
        <v>1833</v>
      </c>
      <c r="C894" s="20" t="s">
        <v>1834</v>
      </c>
      <c r="D894" s="2">
        <v>0.5</v>
      </c>
      <c r="E894" s="21"/>
      <c r="F894" s="2">
        <f t="shared" si="20"/>
        <v>0</v>
      </c>
      <c r="G894" s="3" t="str">
        <f>HYPERLINK("http://tmmp-catalog.com.ua/katalog/37/18349/","фото")</f>
        <v>фото</v>
      </c>
      <c r="H894" s="22"/>
    </row>
    <row r="895" spans="1:8" ht="15" x14ac:dyDescent="0.2">
      <c r="A895" s="18">
        <v>2000000000589</v>
      </c>
      <c r="B895" s="19" t="s">
        <v>1835</v>
      </c>
      <c r="C895" s="20" t="s">
        <v>1836</v>
      </c>
      <c r="D895" s="2">
        <v>0.5</v>
      </c>
      <c r="E895" s="21"/>
      <c r="F895" s="2">
        <f t="shared" si="20"/>
        <v>0</v>
      </c>
      <c r="G895" s="3" t="str">
        <f>HYPERLINK("http://tmmp-catalog.com.ua/katalog/1/14677/","фото")</f>
        <v>фото</v>
      </c>
      <c r="H895" s="22"/>
    </row>
    <row r="896" spans="1:8" ht="15" x14ac:dyDescent="0.2">
      <c r="A896" s="18">
        <v>2000000000596</v>
      </c>
      <c r="B896" s="19" t="s">
        <v>1837</v>
      </c>
      <c r="C896" s="20" t="s">
        <v>1838</v>
      </c>
      <c r="D896" s="2">
        <v>0.5</v>
      </c>
      <c r="E896" s="21"/>
      <c r="F896" s="2">
        <f t="shared" si="20"/>
        <v>0</v>
      </c>
      <c r="G896" s="3" t="str">
        <f>HYPERLINK("http://tmmp-catalog.com.ua/katalog/1/14678/","фото")</f>
        <v>фото</v>
      </c>
      <c r="H896" s="22"/>
    </row>
    <row r="897" spans="1:8" ht="15" x14ac:dyDescent="0.2">
      <c r="A897" s="18"/>
      <c r="B897" s="19" t="s">
        <v>1839</v>
      </c>
      <c r="C897" s="20" t="s">
        <v>1840</v>
      </c>
      <c r="D897" s="2">
        <v>0.9</v>
      </c>
      <c r="E897" s="21"/>
      <c r="F897" s="2">
        <f t="shared" si="20"/>
        <v>0</v>
      </c>
      <c r="G897" s="3" t="str">
        <f>HYPERLINK("http://tmmp-catalog.com.ua/katalog/37/18352/","фото")</f>
        <v>фото</v>
      </c>
      <c r="H897" s="22"/>
    </row>
    <row r="898" spans="1:8" ht="15" x14ac:dyDescent="0.2">
      <c r="A898" s="18"/>
      <c r="B898" s="19" t="s">
        <v>1841</v>
      </c>
      <c r="C898" s="20" t="s">
        <v>1842</v>
      </c>
      <c r="D898" s="2">
        <v>0.5</v>
      </c>
      <c r="E898" s="21"/>
      <c r="F898" s="2">
        <f t="shared" si="20"/>
        <v>0</v>
      </c>
      <c r="G898" s="3" t="str">
        <f>HYPERLINK("http://tmmp-catalog.com.ua/katalog/37/18353/","фото")</f>
        <v>фото</v>
      </c>
      <c r="H898" s="22"/>
    </row>
    <row r="899" spans="1:8" ht="15" x14ac:dyDescent="0.2">
      <c r="A899" s="18"/>
      <c r="B899" s="19" t="s">
        <v>1843</v>
      </c>
      <c r="C899" s="20" t="s">
        <v>1844</v>
      </c>
      <c r="D899" s="2">
        <v>1.1000000000000001</v>
      </c>
      <c r="E899" s="21"/>
      <c r="F899" s="2">
        <f t="shared" si="20"/>
        <v>0</v>
      </c>
      <c r="G899" s="3" t="str">
        <f>HYPERLINK("http://tmmp-catalog.com.ua/katalog/1/18103/","фото")</f>
        <v>фото</v>
      </c>
      <c r="H899" s="22"/>
    </row>
    <row r="900" spans="1:8" ht="15" x14ac:dyDescent="0.2">
      <c r="A900" s="18">
        <v>2000000000619</v>
      </c>
      <c r="B900" s="19" t="s">
        <v>1845</v>
      </c>
      <c r="C900" s="20" t="s">
        <v>1846</v>
      </c>
      <c r="D900" s="2">
        <v>0.9</v>
      </c>
      <c r="E900" s="21"/>
      <c r="F900" s="2">
        <f t="shared" si="20"/>
        <v>0</v>
      </c>
      <c r="G900" s="3" t="str">
        <f>HYPERLINK("http://tmmp-catalog.com.ua/katalog/1/14680/","фото")</f>
        <v>фото</v>
      </c>
      <c r="H900" s="22"/>
    </row>
    <row r="901" spans="1:8" ht="15" x14ac:dyDescent="0.2">
      <c r="A901" s="18">
        <v>2000000000626</v>
      </c>
      <c r="B901" s="19" t="s">
        <v>1847</v>
      </c>
      <c r="C901" s="20" t="s">
        <v>1848</v>
      </c>
      <c r="D901" s="2">
        <v>0.9</v>
      </c>
      <c r="E901" s="21"/>
      <c r="F901" s="2">
        <f t="shared" si="20"/>
        <v>0</v>
      </c>
      <c r="G901" s="3" t="str">
        <f>HYPERLINK("http://tmmp-catalog.com.ua/katalog/1/14681/","фото")</f>
        <v>фото</v>
      </c>
      <c r="H901" s="22"/>
    </row>
    <row r="902" spans="1:8" ht="15" x14ac:dyDescent="0.2">
      <c r="A902" s="18">
        <v>2000000002064</v>
      </c>
      <c r="B902" s="19" t="s">
        <v>1849</v>
      </c>
      <c r="C902" s="20" t="s">
        <v>1850</v>
      </c>
      <c r="D902" s="2">
        <v>0.9</v>
      </c>
      <c r="E902" s="21"/>
      <c r="F902" s="2">
        <f t="shared" si="20"/>
        <v>0</v>
      </c>
      <c r="G902" s="3" t="str">
        <f>HYPERLINK("http://tmmp-catalog.com.ua/katalog/1/17011/","фото")</f>
        <v>фото</v>
      </c>
      <c r="H902" s="22"/>
    </row>
    <row r="903" spans="1:8" ht="15" x14ac:dyDescent="0.2">
      <c r="A903" s="18">
        <v>2000000002071</v>
      </c>
      <c r="B903" s="19" t="s">
        <v>1851</v>
      </c>
      <c r="C903" s="20" t="s">
        <v>1852</v>
      </c>
      <c r="D903" s="2">
        <v>0.5</v>
      </c>
      <c r="E903" s="21"/>
      <c r="F903" s="2">
        <f t="shared" si="20"/>
        <v>0</v>
      </c>
      <c r="G903" s="3" t="str">
        <f>HYPERLINK("http://tmmp-catalog.com.ua/katalog/1/17012/","фото")</f>
        <v>фото</v>
      </c>
      <c r="H903" s="22"/>
    </row>
    <row r="904" spans="1:8" ht="15" x14ac:dyDescent="0.2">
      <c r="A904" s="18">
        <v>2000000000633</v>
      </c>
      <c r="B904" s="19" t="s">
        <v>1853</v>
      </c>
      <c r="C904" s="20" t="s">
        <v>1854</v>
      </c>
      <c r="D904" s="2">
        <v>1.25</v>
      </c>
      <c r="E904" s="21"/>
      <c r="F904" s="2">
        <f t="shared" si="20"/>
        <v>0</v>
      </c>
      <c r="G904" s="3" t="str">
        <f>HYPERLINK("http://tmmp-catalog.com.ua/katalog/1/14682/","фото")</f>
        <v>фото</v>
      </c>
      <c r="H904" s="22"/>
    </row>
    <row r="905" spans="1:8" ht="15" x14ac:dyDescent="0.2">
      <c r="A905" s="18">
        <v>2000000000640</v>
      </c>
      <c r="B905" s="19" t="s">
        <v>1855</v>
      </c>
      <c r="C905" s="20" t="s">
        <v>1856</v>
      </c>
      <c r="D905" s="2">
        <v>1.6</v>
      </c>
      <c r="E905" s="21"/>
      <c r="F905" s="2">
        <f t="shared" si="20"/>
        <v>0</v>
      </c>
      <c r="G905" s="3" t="str">
        <f>HYPERLINK("http://tmmp-catalog.com.ua/katalog/1/14683/","фото")</f>
        <v>фото</v>
      </c>
      <c r="H905" s="22"/>
    </row>
    <row r="906" spans="1:8" ht="15" x14ac:dyDescent="0.2">
      <c r="A906" s="18"/>
      <c r="B906" s="19" t="s">
        <v>1857</v>
      </c>
      <c r="C906" s="20" t="s">
        <v>1858</v>
      </c>
      <c r="D906" s="2">
        <v>6</v>
      </c>
      <c r="E906" s="21"/>
      <c r="F906" s="2">
        <f t="shared" si="20"/>
        <v>0</v>
      </c>
      <c r="G906" s="3" t="str">
        <f>HYPERLINK("http://tmmp-catalog.com.ua/katalog/37/18361/","фото")</f>
        <v>фото</v>
      </c>
      <c r="H906" s="22"/>
    </row>
    <row r="907" spans="1:8" ht="15" x14ac:dyDescent="0.2">
      <c r="A907" s="18">
        <v>2000000015088</v>
      </c>
      <c r="B907" s="19" t="s">
        <v>1859</v>
      </c>
      <c r="C907" s="20" t="s">
        <v>1860</v>
      </c>
      <c r="D907" s="2">
        <v>7.6</v>
      </c>
      <c r="E907" s="21"/>
      <c r="F907" s="2">
        <f t="shared" si="20"/>
        <v>0</v>
      </c>
      <c r="G907" s="3" t="str">
        <f>HYPERLINK("http://tmmp-catalog.com.ua/katalog/2/16774/","фото")</f>
        <v>фото</v>
      </c>
      <c r="H907" s="22"/>
    </row>
    <row r="908" spans="1:8" ht="15" x14ac:dyDescent="0.2">
      <c r="A908" s="18">
        <v>2000000001913</v>
      </c>
      <c r="B908" s="19" t="s">
        <v>1861</v>
      </c>
      <c r="C908" s="20" t="s">
        <v>1862</v>
      </c>
      <c r="D908" s="2">
        <v>9</v>
      </c>
      <c r="E908" s="21"/>
      <c r="F908" s="2">
        <f t="shared" ref="F908:F971" si="21">cena*zakaz</f>
        <v>0</v>
      </c>
      <c r="G908" s="3" t="str">
        <f>HYPERLINK("http://tmmp-catalog.com.ua/katalog/1/16816/","фото")</f>
        <v>фото</v>
      </c>
      <c r="H908" s="22"/>
    </row>
    <row r="909" spans="1:8" ht="15" x14ac:dyDescent="0.2">
      <c r="A909" s="18">
        <v>2000000000664</v>
      </c>
      <c r="B909" s="19" t="s">
        <v>1863</v>
      </c>
      <c r="C909" s="20" t="s">
        <v>1864</v>
      </c>
      <c r="D909" s="2">
        <v>0.15</v>
      </c>
      <c r="E909" s="21"/>
      <c r="F909" s="2">
        <f t="shared" si="21"/>
        <v>0</v>
      </c>
      <c r="G909" s="3" t="str">
        <f>HYPERLINK("http://tmmp-catalog.com.ua/katalog/1/14685/","фото")</f>
        <v>фото</v>
      </c>
      <c r="H909" s="22"/>
    </row>
    <row r="910" spans="1:8" ht="15" x14ac:dyDescent="0.2">
      <c r="A910" s="18">
        <v>2000000001821</v>
      </c>
      <c r="B910" s="19" t="s">
        <v>1865</v>
      </c>
      <c r="C910" s="20" t="s">
        <v>1866</v>
      </c>
      <c r="D910" s="2">
        <v>0.15</v>
      </c>
      <c r="E910" s="21"/>
      <c r="F910" s="2">
        <f t="shared" si="21"/>
        <v>0</v>
      </c>
      <c r="G910" s="3" t="str">
        <f>HYPERLINK("http://tmmp-catalog.com.ua/katalog/1/16618/","фото")</f>
        <v>фото</v>
      </c>
      <c r="H910" s="22"/>
    </row>
    <row r="911" spans="1:8" ht="15" x14ac:dyDescent="0.2">
      <c r="A911" s="18">
        <v>2000000011998</v>
      </c>
      <c r="B911" s="19" t="s">
        <v>1867</v>
      </c>
      <c r="C911" s="20" t="s">
        <v>1868</v>
      </c>
      <c r="D911" s="2">
        <v>7.5</v>
      </c>
      <c r="E911" s="21"/>
      <c r="F911" s="2">
        <f t="shared" si="21"/>
        <v>0</v>
      </c>
      <c r="G911" s="3" t="str">
        <f>HYPERLINK("http://tmmp-catalog.com.ua/katalog/2/14803/","фото")</f>
        <v>фото</v>
      </c>
      <c r="H911" s="22"/>
    </row>
    <row r="912" spans="1:8" ht="15" x14ac:dyDescent="0.2">
      <c r="A912" s="18">
        <v>2000000000138</v>
      </c>
      <c r="B912" s="19" t="s">
        <v>1869</v>
      </c>
      <c r="C912" s="20" t="s">
        <v>1870</v>
      </c>
      <c r="D912" s="2">
        <v>1.65</v>
      </c>
      <c r="E912" s="21"/>
      <c r="F912" s="2">
        <f t="shared" si="21"/>
        <v>0</v>
      </c>
      <c r="G912" s="3" t="str">
        <f>HYPERLINK("http://tmmp-catalog.com.ua/katalog/1/14632/","фото")</f>
        <v>фото</v>
      </c>
      <c r="H912" s="22"/>
    </row>
    <row r="913" spans="1:8" ht="15" x14ac:dyDescent="0.2">
      <c r="A913" s="18">
        <v>2000000012049</v>
      </c>
      <c r="B913" s="19" t="s">
        <v>1871</v>
      </c>
      <c r="C913" s="20" t="s">
        <v>1872</v>
      </c>
      <c r="D913" s="2">
        <v>1.65</v>
      </c>
      <c r="E913" s="21"/>
      <c r="F913" s="2">
        <f t="shared" si="21"/>
        <v>0</v>
      </c>
      <c r="G913" s="3" t="str">
        <f>HYPERLINK("http://tmmp-catalog.com.ua/katalog/2/14808/","фото")</f>
        <v>фото</v>
      </c>
      <c r="H913" s="22"/>
    </row>
    <row r="914" spans="1:8" ht="15" x14ac:dyDescent="0.2">
      <c r="A914" s="18">
        <v>2000000015378</v>
      </c>
      <c r="B914" s="19" t="s">
        <v>1873</v>
      </c>
      <c r="C914" s="20" t="s">
        <v>1874</v>
      </c>
      <c r="D914" s="2">
        <v>0.4</v>
      </c>
      <c r="E914" s="21"/>
      <c r="F914" s="2">
        <f t="shared" si="21"/>
        <v>0</v>
      </c>
      <c r="G914" s="3" t="str">
        <f>HYPERLINK("http://tmmp-catalog.com.ua/katalog/2/16803/","фото")</f>
        <v>фото</v>
      </c>
      <c r="H914" s="22"/>
    </row>
    <row r="915" spans="1:8" ht="15" x14ac:dyDescent="0.2">
      <c r="A915" s="18">
        <v>2000000012858</v>
      </c>
      <c r="B915" s="19" t="s">
        <v>1875</v>
      </c>
      <c r="C915" s="20" t="s">
        <v>1876</v>
      </c>
      <c r="D915" s="2">
        <v>3</v>
      </c>
      <c r="E915" s="21"/>
      <c r="F915" s="2">
        <f t="shared" si="21"/>
        <v>0</v>
      </c>
      <c r="G915" s="3" t="str">
        <f>HYPERLINK("http://tmmp-catalog.com.ua/katalog/2/14892/","фото")</f>
        <v>фото</v>
      </c>
      <c r="H915" s="22"/>
    </row>
    <row r="916" spans="1:8" ht="15" x14ac:dyDescent="0.2">
      <c r="A916" s="18">
        <v>2000000012865</v>
      </c>
      <c r="B916" s="19" t="s">
        <v>1877</v>
      </c>
      <c r="C916" s="20" t="s">
        <v>1878</v>
      </c>
      <c r="D916" s="2">
        <v>2.4</v>
      </c>
      <c r="E916" s="21"/>
      <c r="F916" s="2">
        <f t="shared" si="21"/>
        <v>0</v>
      </c>
      <c r="G916" s="3" t="str">
        <f>HYPERLINK("http://tmmp-catalog.com.ua/katalog/2/14893/","фото")</f>
        <v>фото</v>
      </c>
      <c r="H916" s="22"/>
    </row>
    <row r="917" spans="1:8" ht="15" x14ac:dyDescent="0.2">
      <c r="A917" s="18">
        <v>2000000015316</v>
      </c>
      <c r="B917" s="19" t="s">
        <v>1879</v>
      </c>
      <c r="C917" s="20" t="s">
        <v>1880</v>
      </c>
      <c r="D917" s="2">
        <v>1</v>
      </c>
      <c r="E917" s="21"/>
      <c r="F917" s="2">
        <f t="shared" si="21"/>
        <v>0</v>
      </c>
      <c r="G917" s="3" t="str">
        <f>HYPERLINK("http://tmmp-catalog.com.ua/katalog/2/16797/","фото")</f>
        <v>фото</v>
      </c>
      <c r="H917" s="22"/>
    </row>
    <row r="918" spans="1:8" ht="15" x14ac:dyDescent="0.2">
      <c r="A918" s="18">
        <v>2000000001760</v>
      </c>
      <c r="B918" s="19" t="s">
        <v>1881</v>
      </c>
      <c r="C918" s="20" t="s">
        <v>1882</v>
      </c>
      <c r="D918" s="2">
        <v>13</v>
      </c>
      <c r="E918" s="21"/>
      <c r="F918" s="2">
        <f t="shared" si="21"/>
        <v>0</v>
      </c>
      <c r="G918" s="3" t="str">
        <f>HYPERLINK("http://tmmp-catalog.com.ua/katalog/1/16612/","фото")</f>
        <v>фото</v>
      </c>
      <c r="H918" s="22"/>
    </row>
    <row r="919" spans="1:8" ht="15" x14ac:dyDescent="0.2">
      <c r="A919" s="18">
        <v>2000000012896</v>
      </c>
      <c r="B919" s="19" t="s">
        <v>1883</v>
      </c>
      <c r="C919" s="20" t="s">
        <v>1884</v>
      </c>
      <c r="D919" s="2">
        <v>13.5</v>
      </c>
      <c r="E919" s="21"/>
      <c r="F919" s="2">
        <f t="shared" si="21"/>
        <v>0</v>
      </c>
      <c r="G919" s="3" t="str">
        <f>HYPERLINK("http://tmmp-catalog.com.ua/katalog/2/14896/","фото")</f>
        <v>фото</v>
      </c>
      <c r="H919" s="22"/>
    </row>
    <row r="920" spans="1:8" ht="15" x14ac:dyDescent="0.2">
      <c r="A920" s="18">
        <v>2000000012902</v>
      </c>
      <c r="B920" s="19" t="s">
        <v>1885</v>
      </c>
      <c r="C920" s="20" t="s">
        <v>1886</v>
      </c>
      <c r="D920" s="2">
        <v>13.5</v>
      </c>
      <c r="E920" s="21"/>
      <c r="F920" s="2">
        <f t="shared" si="21"/>
        <v>0</v>
      </c>
      <c r="G920" s="3" t="str">
        <f>HYPERLINK("http://tmmp-catalog.com.ua/katalog/2/14897/","фото")</f>
        <v>фото</v>
      </c>
      <c r="H920" s="22"/>
    </row>
    <row r="921" spans="1:8" ht="15" x14ac:dyDescent="0.2">
      <c r="A921" s="18">
        <v>2000000012933</v>
      </c>
      <c r="B921" s="19" t="s">
        <v>1887</v>
      </c>
      <c r="C921" s="20" t="s">
        <v>1888</v>
      </c>
      <c r="D921" s="2">
        <v>17</v>
      </c>
      <c r="E921" s="21"/>
      <c r="F921" s="2">
        <f t="shared" si="21"/>
        <v>0</v>
      </c>
      <c r="G921" s="3" t="str">
        <f>HYPERLINK("http://tmmp-catalog.com.ua/katalog/2/14900/","фото")</f>
        <v>фото</v>
      </c>
      <c r="H921" s="22"/>
    </row>
    <row r="922" spans="1:8" ht="15" x14ac:dyDescent="0.2">
      <c r="A922" s="18">
        <v>2000000012919</v>
      </c>
      <c r="B922" s="19" t="s">
        <v>1889</v>
      </c>
      <c r="C922" s="20" t="s">
        <v>1890</v>
      </c>
      <c r="D922" s="2">
        <v>13</v>
      </c>
      <c r="E922" s="21"/>
      <c r="F922" s="2">
        <f t="shared" si="21"/>
        <v>0</v>
      </c>
      <c r="G922" s="3" t="str">
        <f>HYPERLINK("http://tmmp-catalog.com.ua/katalog/2/14898/","фото")</f>
        <v>фото</v>
      </c>
      <c r="H922" s="22"/>
    </row>
    <row r="923" spans="1:8" ht="15" x14ac:dyDescent="0.2">
      <c r="A923" s="18">
        <v>2000000000718</v>
      </c>
      <c r="B923" s="19" t="s">
        <v>1891</v>
      </c>
      <c r="C923" s="20" t="s">
        <v>1892</v>
      </c>
      <c r="D923" s="2">
        <v>12</v>
      </c>
      <c r="E923" s="21"/>
      <c r="F923" s="2">
        <f t="shared" si="21"/>
        <v>0</v>
      </c>
      <c r="G923" s="3" t="str">
        <f>HYPERLINK("http://tmmp-catalog.com.ua/katalog/1/14690/","фото")</f>
        <v>фото</v>
      </c>
      <c r="H923" s="22"/>
    </row>
    <row r="924" spans="1:8" ht="15" x14ac:dyDescent="0.2">
      <c r="A924" s="18">
        <v>2000000012964</v>
      </c>
      <c r="B924" s="19" t="s">
        <v>1893</v>
      </c>
      <c r="C924" s="20" t="s">
        <v>1894</v>
      </c>
      <c r="D924" s="2">
        <v>12.1</v>
      </c>
      <c r="E924" s="21"/>
      <c r="F924" s="2">
        <f t="shared" si="21"/>
        <v>0</v>
      </c>
      <c r="G924" s="3" t="str">
        <f>HYPERLINK("http://tmmp-catalog.com.ua/katalog/2/14903/","фото")</f>
        <v>фото</v>
      </c>
      <c r="H924" s="22"/>
    </row>
    <row r="925" spans="1:8" ht="15" x14ac:dyDescent="0.2">
      <c r="A925" s="18">
        <v>2000000000749</v>
      </c>
      <c r="B925" s="19" t="s">
        <v>1895</v>
      </c>
      <c r="C925" s="20" t="s">
        <v>1896</v>
      </c>
      <c r="D925" s="2">
        <v>8.3000000000000007</v>
      </c>
      <c r="E925" s="21"/>
      <c r="F925" s="2">
        <f t="shared" si="21"/>
        <v>0</v>
      </c>
      <c r="G925" s="3" t="str">
        <f>HYPERLINK("http://tmmp-catalog.com.ua/katalog/1/14693/","фото")</f>
        <v>фото</v>
      </c>
      <c r="H925" s="22"/>
    </row>
    <row r="926" spans="1:8" ht="15" x14ac:dyDescent="0.2">
      <c r="A926" s="18">
        <v>2000000000770</v>
      </c>
      <c r="B926" s="19" t="s">
        <v>1897</v>
      </c>
      <c r="C926" s="20" t="s">
        <v>1898</v>
      </c>
      <c r="D926" s="2">
        <v>1.1000000000000001</v>
      </c>
      <c r="E926" s="21"/>
      <c r="F926" s="2">
        <f t="shared" si="21"/>
        <v>0</v>
      </c>
      <c r="G926" s="3" t="str">
        <f>HYPERLINK("http://tmmp-catalog.com.ua/katalog/1/14696/","фото")</f>
        <v>фото</v>
      </c>
      <c r="H926" s="22"/>
    </row>
    <row r="927" spans="1:8" ht="15" x14ac:dyDescent="0.2">
      <c r="A927" s="18">
        <v>2000000000756</v>
      </c>
      <c r="B927" s="19" t="s">
        <v>1899</v>
      </c>
      <c r="C927" s="20" t="s">
        <v>1900</v>
      </c>
      <c r="D927" s="2">
        <v>0.3</v>
      </c>
      <c r="E927" s="21"/>
      <c r="F927" s="2">
        <f t="shared" si="21"/>
        <v>0</v>
      </c>
      <c r="G927" s="3" t="str">
        <f>HYPERLINK("http://tmmp-catalog.com.ua/katalog/1/14694/","фото")</f>
        <v>фото</v>
      </c>
      <c r="H927" s="22"/>
    </row>
    <row r="928" spans="1:8" ht="15" x14ac:dyDescent="0.2">
      <c r="A928" s="18">
        <v>2000000001890</v>
      </c>
      <c r="B928" s="19" t="s">
        <v>1901</v>
      </c>
      <c r="C928" s="20" t="s">
        <v>1902</v>
      </c>
      <c r="D928" s="2">
        <v>0.2</v>
      </c>
      <c r="E928" s="21"/>
      <c r="F928" s="2">
        <f t="shared" si="21"/>
        <v>0</v>
      </c>
      <c r="G928" s="3" t="str">
        <f>HYPERLINK("http://tmmp-catalog.com.ua/katalog/1/16814/","фото")</f>
        <v>фото</v>
      </c>
      <c r="H928" s="22"/>
    </row>
    <row r="929" spans="1:8" ht="15" x14ac:dyDescent="0.2">
      <c r="A929" s="18">
        <v>2000000000787</v>
      </c>
      <c r="B929" s="19" t="s">
        <v>1903</v>
      </c>
      <c r="C929" s="20" t="s">
        <v>1904</v>
      </c>
      <c r="D929" s="2">
        <v>0.8</v>
      </c>
      <c r="E929" s="21"/>
      <c r="F929" s="2">
        <f t="shared" si="21"/>
        <v>0</v>
      </c>
      <c r="G929" s="3" t="str">
        <f>HYPERLINK("http://tmmp-catalog.com.ua/katalog/1/14697/","фото")</f>
        <v>фото</v>
      </c>
      <c r="H929" s="22"/>
    </row>
    <row r="930" spans="1:8" ht="15" x14ac:dyDescent="0.2">
      <c r="A930" s="18">
        <v>2000000000763</v>
      </c>
      <c r="B930" s="19" t="s">
        <v>1905</v>
      </c>
      <c r="C930" s="20" t="s">
        <v>1906</v>
      </c>
      <c r="D930" s="2">
        <v>0.3</v>
      </c>
      <c r="E930" s="21"/>
      <c r="F930" s="2">
        <f t="shared" si="21"/>
        <v>0</v>
      </c>
      <c r="G930" s="3" t="str">
        <f>HYPERLINK("http://tmmp-catalog.com.ua/katalog/1/14695/","фото")</f>
        <v>фото</v>
      </c>
      <c r="H930" s="22"/>
    </row>
    <row r="931" spans="1:8" ht="15" x14ac:dyDescent="0.2">
      <c r="A931" s="18">
        <v>2000000000800</v>
      </c>
      <c r="B931" s="19" t="s">
        <v>1907</v>
      </c>
      <c r="C931" s="20" t="s">
        <v>1908</v>
      </c>
      <c r="D931" s="2">
        <v>8</v>
      </c>
      <c r="E931" s="21"/>
      <c r="F931" s="2">
        <f t="shared" si="21"/>
        <v>0</v>
      </c>
      <c r="G931" s="3" t="str">
        <f>HYPERLINK("http://tmmp-catalog.com.ua/katalog/1/14699/","фото")</f>
        <v>фото</v>
      </c>
      <c r="H931" s="22"/>
    </row>
    <row r="932" spans="1:8" ht="15" x14ac:dyDescent="0.2">
      <c r="A932" s="18">
        <v>2000000012988</v>
      </c>
      <c r="B932" s="19" t="s">
        <v>1909</v>
      </c>
      <c r="C932" s="20" t="s">
        <v>1910</v>
      </c>
      <c r="D932" s="2">
        <v>8</v>
      </c>
      <c r="E932" s="21"/>
      <c r="F932" s="2">
        <f t="shared" si="21"/>
        <v>0</v>
      </c>
      <c r="G932" s="3" t="str">
        <f>HYPERLINK("http://tmmp-catalog.com.ua/katalog/2/14905/","фото")</f>
        <v>фото</v>
      </c>
      <c r="H932" s="22"/>
    </row>
    <row r="933" spans="1:8" ht="15" x14ac:dyDescent="0.2">
      <c r="A933" s="18">
        <v>2000000000817</v>
      </c>
      <c r="B933" s="19" t="s">
        <v>1911</v>
      </c>
      <c r="C933" s="20" t="s">
        <v>1912</v>
      </c>
      <c r="D933" s="2">
        <v>1.9</v>
      </c>
      <c r="E933" s="21"/>
      <c r="F933" s="2">
        <f t="shared" si="21"/>
        <v>0</v>
      </c>
      <c r="G933" s="3" t="str">
        <f>HYPERLINK("http://tmmp-catalog.com.ua/katalog/1/14700/","фото")</f>
        <v>фото</v>
      </c>
      <c r="H933" s="22"/>
    </row>
    <row r="934" spans="1:8" ht="15" x14ac:dyDescent="0.2">
      <c r="A934" s="18">
        <v>2000000012995</v>
      </c>
      <c r="B934" s="19" t="s">
        <v>1913</v>
      </c>
      <c r="C934" s="20" t="s">
        <v>1914</v>
      </c>
      <c r="D934" s="2">
        <v>1.9</v>
      </c>
      <c r="E934" s="21"/>
      <c r="F934" s="2">
        <f t="shared" si="21"/>
        <v>0</v>
      </c>
      <c r="G934" s="3" t="str">
        <f>HYPERLINK("http://tmmp-catalog.com.ua/katalog/2/14906/","фото")</f>
        <v>фото</v>
      </c>
      <c r="H934" s="22"/>
    </row>
    <row r="935" spans="1:8" ht="15" x14ac:dyDescent="0.2">
      <c r="A935" s="18">
        <v>2000000013008</v>
      </c>
      <c r="B935" s="19" t="s">
        <v>1915</v>
      </c>
      <c r="C935" s="20" t="s">
        <v>1916</v>
      </c>
      <c r="D935" s="2">
        <v>19</v>
      </c>
      <c r="E935" s="21"/>
      <c r="F935" s="2">
        <f t="shared" si="21"/>
        <v>0</v>
      </c>
      <c r="G935" s="3" t="str">
        <f>HYPERLINK("http://tmmp-catalog.com.ua/katalog/2/14907/","фото")</f>
        <v>фото</v>
      </c>
      <c r="H935" s="22"/>
    </row>
    <row r="936" spans="1:8" ht="15" x14ac:dyDescent="0.2">
      <c r="A936" s="18">
        <v>2000000013145</v>
      </c>
      <c r="B936" s="19" t="s">
        <v>1917</v>
      </c>
      <c r="C936" s="20" t="s">
        <v>1918</v>
      </c>
      <c r="D936" s="2">
        <v>0.1</v>
      </c>
      <c r="E936" s="21"/>
      <c r="F936" s="2">
        <f t="shared" si="21"/>
        <v>0</v>
      </c>
      <c r="G936" s="3" t="str">
        <f>HYPERLINK("http://tmmp-catalog.com.ua/katalog/2/14921/","фото")</f>
        <v>фото</v>
      </c>
      <c r="H936" s="22"/>
    </row>
    <row r="937" spans="1:8" ht="15" x14ac:dyDescent="0.2">
      <c r="A937" s="18">
        <v>2000000000923</v>
      </c>
      <c r="B937" s="19" t="s">
        <v>1919</v>
      </c>
      <c r="C937" s="20" t="s">
        <v>1920</v>
      </c>
      <c r="D937" s="2">
        <v>1</v>
      </c>
      <c r="E937" s="21"/>
      <c r="F937" s="2">
        <f t="shared" si="21"/>
        <v>0</v>
      </c>
      <c r="G937" s="3" t="str">
        <f>HYPERLINK("http://tmmp-catalog.com.ua/katalog/1/14712/","фото")</f>
        <v>фото</v>
      </c>
      <c r="H937" s="22"/>
    </row>
    <row r="938" spans="1:8" ht="15" x14ac:dyDescent="0.2">
      <c r="A938" s="18"/>
      <c r="B938" s="19" t="s">
        <v>1921</v>
      </c>
      <c r="C938" s="20" t="s">
        <v>1922</v>
      </c>
      <c r="D938" s="2">
        <v>0.3</v>
      </c>
      <c r="E938" s="21"/>
      <c r="F938" s="2">
        <f t="shared" si="21"/>
        <v>0</v>
      </c>
      <c r="G938" s="3" t="str">
        <f>HYPERLINK("http://tmmp-catalog.com.ua/katalog/2/17168/","фото")</f>
        <v>фото</v>
      </c>
      <c r="H938" s="22"/>
    </row>
    <row r="939" spans="1:8" ht="15" x14ac:dyDescent="0.2">
      <c r="A939" s="18">
        <v>2000000013152</v>
      </c>
      <c r="B939" s="19" t="s">
        <v>1923</v>
      </c>
      <c r="C939" s="20" t="s">
        <v>1924</v>
      </c>
      <c r="D939" s="2">
        <v>0.8</v>
      </c>
      <c r="E939" s="21"/>
      <c r="F939" s="2">
        <f t="shared" si="21"/>
        <v>0</v>
      </c>
      <c r="G939" s="3" t="str">
        <f>HYPERLINK("http://tmmp-catalog.com.ua/katalog/2/14922/","фото")</f>
        <v>фото</v>
      </c>
      <c r="H939" s="22"/>
    </row>
    <row r="940" spans="1:8" ht="15" x14ac:dyDescent="0.2">
      <c r="A940" s="18">
        <v>2000000000930</v>
      </c>
      <c r="B940" s="19" t="s">
        <v>1925</v>
      </c>
      <c r="C940" s="20" t="s">
        <v>1926</v>
      </c>
      <c r="D940" s="2">
        <v>1.5</v>
      </c>
      <c r="E940" s="21"/>
      <c r="F940" s="2">
        <f t="shared" si="21"/>
        <v>0</v>
      </c>
      <c r="G940" s="3" t="str">
        <f>HYPERLINK("http://tmmp-catalog.com.ua/katalog/1/14713/","фото")</f>
        <v>фото</v>
      </c>
      <c r="H940" s="22"/>
    </row>
    <row r="941" spans="1:8" ht="15" x14ac:dyDescent="0.2">
      <c r="A941" s="18">
        <v>2000000015194</v>
      </c>
      <c r="B941" s="19" t="s">
        <v>1927</v>
      </c>
      <c r="C941" s="20" t="s">
        <v>1928</v>
      </c>
      <c r="D941" s="2">
        <v>1.9</v>
      </c>
      <c r="E941" s="21"/>
      <c r="F941" s="2">
        <f t="shared" si="21"/>
        <v>0</v>
      </c>
      <c r="G941" s="3" t="str">
        <f>HYPERLINK("http://tmmp-catalog.com.ua/katalog/2/16785/","фото")</f>
        <v>фото</v>
      </c>
      <c r="H941" s="22"/>
    </row>
    <row r="942" spans="1:8" ht="15" x14ac:dyDescent="0.2">
      <c r="A942" s="18">
        <v>2000000000961</v>
      </c>
      <c r="B942" s="19" t="s">
        <v>1929</v>
      </c>
      <c r="C942" s="20" t="s">
        <v>1930</v>
      </c>
      <c r="D942" s="2">
        <v>2.2999999999999998</v>
      </c>
      <c r="E942" s="21"/>
      <c r="F942" s="2">
        <f t="shared" si="21"/>
        <v>0</v>
      </c>
      <c r="G942" s="3" t="str">
        <f>HYPERLINK("http://tmmp-catalog.com.ua/katalog/1/14716/","фото")</f>
        <v>фото</v>
      </c>
      <c r="H942" s="22"/>
    </row>
    <row r="943" spans="1:8" ht="15" x14ac:dyDescent="0.2">
      <c r="A943" s="18">
        <v>2000000000978</v>
      </c>
      <c r="B943" s="19" t="s">
        <v>1931</v>
      </c>
      <c r="C943" s="20" t="s">
        <v>1932</v>
      </c>
      <c r="D943" s="2">
        <v>2.2999999999999998</v>
      </c>
      <c r="E943" s="21"/>
      <c r="F943" s="2">
        <f t="shared" si="21"/>
        <v>0</v>
      </c>
      <c r="G943" s="3" t="str">
        <f>HYPERLINK("http://tmmp-catalog.com.ua/katalog/1/14717/","фото")</f>
        <v>фото</v>
      </c>
      <c r="H943" s="22"/>
    </row>
    <row r="944" spans="1:8" ht="15" x14ac:dyDescent="0.2">
      <c r="A944" s="18">
        <v>2000000013176</v>
      </c>
      <c r="B944" s="19" t="s">
        <v>1933</v>
      </c>
      <c r="C944" s="20" t="s">
        <v>1934</v>
      </c>
      <c r="D944" s="2">
        <v>2.1</v>
      </c>
      <c r="E944" s="21"/>
      <c r="F944" s="2">
        <f t="shared" si="21"/>
        <v>0</v>
      </c>
      <c r="G944" s="3" t="str">
        <f>HYPERLINK("http://tmmp-catalog.com.ua/katalog/2/14924/","фото")</f>
        <v>фото</v>
      </c>
      <c r="H944" s="22"/>
    </row>
    <row r="945" spans="1:8" ht="15" x14ac:dyDescent="0.2">
      <c r="A945" s="18"/>
      <c r="B945" s="19" t="s">
        <v>1935</v>
      </c>
      <c r="C945" s="20" t="s">
        <v>1936</v>
      </c>
      <c r="D945" s="2">
        <v>2.2000000000000002</v>
      </c>
      <c r="E945" s="21"/>
      <c r="F945" s="2">
        <f t="shared" si="21"/>
        <v>0</v>
      </c>
      <c r="G945" s="3" t="str">
        <f>HYPERLINK("http://tmmp-catalog.com.ua/katalog/37/18385/","фото")</f>
        <v>фото</v>
      </c>
      <c r="H945" s="22"/>
    </row>
    <row r="946" spans="1:8" ht="15" x14ac:dyDescent="0.2">
      <c r="A946" s="18">
        <v>2000000013183</v>
      </c>
      <c r="B946" s="19" t="s">
        <v>1937</v>
      </c>
      <c r="C946" s="20" t="s">
        <v>1938</v>
      </c>
      <c r="D946" s="2">
        <v>2.2000000000000002</v>
      </c>
      <c r="E946" s="21"/>
      <c r="F946" s="2">
        <f t="shared" si="21"/>
        <v>0</v>
      </c>
      <c r="G946" s="3" t="str">
        <f>HYPERLINK("http://tmmp-catalog.com.ua/katalog/2/14925/","фото")</f>
        <v>фото</v>
      </c>
      <c r="H946" s="22"/>
    </row>
    <row r="947" spans="1:8" ht="15" x14ac:dyDescent="0.2">
      <c r="A947" s="18"/>
      <c r="B947" s="19" t="s">
        <v>1939</v>
      </c>
      <c r="C947" s="20" t="s">
        <v>1940</v>
      </c>
      <c r="D947" s="2">
        <v>2.2000000000000002</v>
      </c>
      <c r="E947" s="21"/>
      <c r="F947" s="2">
        <f t="shared" si="21"/>
        <v>0</v>
      </c>
      <c r="G947" s="3" t="str">
        <f>HYPERLINK("http://tmmp-catalog.com.ua/katalog/37/18674/","фото")</f>
        <v>фото</v>
      </c>
      <c r="H947" s="22"/>
    </row>
    <row r="948" spans="1:8" ht="15" x14ac:dyDescent="0.2">
      <c r="A948" s="18">
        <v>2000000000985</v>
      </c>
      <c r="B948" s="19" t="s">
        <v>1941</v>
      </c>
      <c r="C948" s="20" t="s">
        <v>1942</v>
      </c>
      <c r="D948" s="2">
        <v>1.2</v>
      </c>
      <c r="E948" s="21"/>
      <c r="F948" s="2">
        <f t="shared" si="21"/>
        <v>0</v>
      </c>
      <c r="G948" s="3" t="str">
        <f>HYPERLINK("http://tmmp-catalog.com.ua/katalog/1/14718/","фото")</f>
        <v>фото</v>
      </c>
      <c r="H948" s="22"/>
    </row>
    <row r="949" spans="1:8" ht="15" x14ac:dyDescent="0.2">
      <c r="A949" s="18">
        <v>2000000000992</v>
      </c>
      <c r="B949" s="19" t="s">
        <v>1943</v>
      </c>
      <c r="C949" s="20" t="s">
        <v>1944</v>
      </c>
      <c r="D949" s="2">
        <v>0.6</v>
      </c>
      <c r="E949" s="21"/>
      <c r="F949" s="2">
        <f t="shared" si="21"/>
        <v>0</v>
      </c>
      <c r="G949" s="3" t="str">
        <f>HYPERLINK("http://tmmp-catalog.com.ua/katalog/1/14719/","фото")</f>
        <v>фото</v>
      </c>
      <c r="H949" s="22"/>
    </row>
    <row r="950" spans="1:8" ht="15" x14ac:dyDescent="0.2">
      <c r="A950" s="18"/>
      <c r="B950" s="19" t="s">
        <v>1945</v>
      </c>
      <c r="C950" s="20" t="s">
        <v>1946</v>
      </c>
      <c r="D950" s="2">
        <v>17</v>
      </c>
      <c r="E950" s="21"/>
      <c r="F950" s="2">
        <f t="shared" si="21"/>
        <v>0</v>
      </c>
      <c r="G950" s="3" t="str">
        <f>HYPERLINK("http://tmmp-catalog.com.ua/katalog/37/18395/","фото")</f>
        <v>фото</v>
      </c>
      <c r="H950" s="22"/>
    </row>
    <row r="951" spans="1:8" ht="15" x14ac:dyDescent="0.2">
      <c r="A951" s="18">
        <v>2000000013220</v>
      </c>
      <c r="B951" s="19" t="s">
        <v>1947</v>
      </c>
      <c r="C951" s="20" t="s">
        <v>1948</v>
      </c>
      <c r="D951" s="2">
        <v>18</v>
      </c>
      <c r="E951" s="21"/>
      <c r="F951" s="2">
        <f t="shared" si="21"/>
        <v>0</v>
      </c>
      <c r="G951" s="3" t="str">
        <f>HYPERLINK("http://tmmp-catalog.com.ua/katalog/2/14929/","фото")</f>
        <v>фото</v>
      </c>
      <c r="H951" s="22"/>
    </row>
    <row r="952" spans="1:8" ht="15" x14ac:dyDescent="0.2">
      <c r="A952" s="18">
        <v>2000000013237</v>
      </c>
      <c r="B952" s="19" t="s">
        <v>1949</v>
      </c>
      <c r="C952" s="20" t="s">
        <v>1950</v>
      </c>
      <c r="D952" s="2">
        <v>9</v>
      </c>
      <c r="E952" s="21"/>
      <c r="F952" s="2">
        <f t="shared" si="21"/>
        <v>0</v>
      </c>
      <c r="G952" s="3" t="str">
        <f>HYPERLINK("http://tmmp-catalog.com.ua/katalog/2/14930/","фото")</f>
        <v>фото</v>
      </c>
      <c r="H952" s="22"/>
    </row>
    <row r="953" spans="1:8" ht="15" x14ac:dyDescent="0.2">
      <c r="A953" s="18">
        <v>2000000014210</v>
      </c>
      <c r="B953" s="19" t="s">
        <v>1951</v>
      </c>
      <c r="C953" s="20" t="s">
        <v>1952</v>
      </c>
      <c r="D953" s="2">
        <v>9.5</v>
      </c>
      <c r="E953" s="21"/>
      <c r="F953" s="2">
        <f t="shared" si="21"/>
        <v>0</v>
      </c>
      <c r="G953" s="3" t="str">
        <f>HYPERLINK("http://tmmp-catalog.com.ua/katalog/2/15031/","фото")</f>
        <v>фото</v>
      </c>
      <c r="H953" s="22"/>
    </row>
    <row r="954" spans="1:8" ht="15" x14ac:dyDescent="0.2">
      <c r="A954" s="18">
        <v>2000000001012</v>
      </c>
      <c r="B954" s="19" t="s">
        <v>1953</v>
      </c>
      <c r="C954" s="20" t="s">
        <v>1954</v>
      </c>
      <c r="D954" s="2">
        <v>2.6</v>
      </c>
      <c r="E954" s="21"/>
      <c r="F954" s="2">
        <f t="shared" si="21"/>
        <v>0</v>
      </c>
      <c r="G954" s="3" t="str">
        <f>HYPERLINK("http://tmmp-catalog.com.ua/katalog/1/14721/","фото")</f>
        <v>фото</v>
      </c>
      <c r="H954" s="22"/>
    </row>
    <row r="955" spans="1:8" ht="15" x14ac:dyDescent="0.2">
      <c r="A955" s="18">
        <v>2000000013251</v>
      </c>
      <c r="B955" s="19" t="s">
        <v>1955</v>
      </c>
      <c r="C955" s="20" t="s">
        <v>1956</v>
      </c>
      <c r="D955" s="2">
        <v>0.5</v>
      </c>
      <c r="E955" s="21"/>
      <c r="F955" s="2">
        <f t="shared" si="21"/>
        <v>0</v>
      </c>
      <c r="G955" s="3" t="str">
        <f>HYPERLINK("http://tmmp-catalog.com.ua/katalog/2/14932/","фото")</f>
        <v>фото</v>
      </c>
      <c r="H955" s="22"/>
    </row>
    <row r="956" spans="1:8" ht="15" x14ac:dyDescent="0.2">
      <c r="A956" s="18">
        <v>2000000001029</v>
      </c>
      <c r="B956" s="19" t="s">
        <v>1957</v>
      </c>
      <c r="C956" s="20" t="s">
        <v>1958</v>
      </c>
      <c r="D956" s="2">
        <v>2.4</v>
      </c>
      <c r="E956" s="21"/>
      <c r="F956" s="2">
        <f t="shared" si="21"/>
        <v>0</v>
      </c>
      <c r="G956" s="3" t="str">
        <f>HYPERLINK("http://tmmp-catalog.com.ua/katalog/1/14722/","фото")</f>
        <v>фото</v>
      </c>
      <c r="H956" s="22"/>
    </row>
    <row r="957" spans="1:8" ht="15" x14ac:dyDescent="0.2">
      <c r="A957" s="18">
        <v>2000000013268</v>
      </c>
      <c r="B957" s="19" t="s">
        <v>1959</v>
      </c>
      <c r="C957" s="20" t="s">
        <v>1960</v>
      </c>
      <c r="D957" s="2">
        <v>1.8</v>
      </c>
      <c r="E957" s="21"/>
      <c r="F957" s="2">
        <f t="shared" si="21"/>
        <v>0</v>
      </c>
      <c r="G957" s="3" t="str">
        <f>HYPERLINK("http://tmmp-catalog.com.ua/katalog/2/14933/","фото")</f>
        <v>фото</v>
      </c>
      <c r="H957" s="22"/>
    </row>
    <row r="958" spans="1:8" ht="15" x14ac:dyDescent="0.2">
      <c r="A958" s="18">
        <v>2000000013343</v>
      </c>
      <c r="B958" s="19" t="s">
        <v>1961</v>
      </c>
      <c r="C958" s="20" t="s">
        <v>1962</v>
      </c>
      <c r="D958" s="2">
        <v>9</v>
      </c>
      <c r="E958" s="21"/>
      <c r="F958" s="2">
        <f t="shared" si="21"/>
        <v>0</v>
      </c>
      <c r="G958" s="3" t="str">
        <f>HYPERLINK("http://tmmp-catalog.com.ua/katalog/2/14941/","фото")</f>
        <v>фото</v>
      </c>
      <c r="H958" s="22"/>
    </row>
    <row r="959" spans="1:8" ht="15" x14ac:dyDescent="0.2">
      <c r="A959" s="18">
        <v>2000000013381</v>
      </c>
      <c r="B959" s="19" t="s">
        <v>1963</v>
      </c>
      <c r="C959" s="20" t="s">
        <v>1964</v>
      </c>
      <c r="D959" s="2">
        <v>1.5</v>
      </c>
      <c r="E959" s="21"/>
      <c r="F959" s="2">
        <f t="shared" si="21"/>
        <v>0</v>
      </c>
      <c r="G959" s="3" t="str">
        <f>HYPERLINK("http://tmmp-catalog.com.ua/katalog/2/14945/","фото")</f>
        <v>фото</v>
      </c>
      <c r="H959" s="22"/>
    </row>
    <row r="960" spans="1:8" ht="15" x14ac:dyDescent="0.2">
      <c r="A960" s="18"/>
      <c r="B960" s="19" t="s">
        <v>1965</v>
      </c>
      <c r="C960" s="20" t="s">
        <v>1966</v>
      </c>
      <c r="D960" s="2">
        <v>7</v>
      </c>
      <c r="E960" s="21"/>
      <c r="F960" s="2">
        <f t="shared" si="21"/>
        <v>0</v>
      </c>
      <c r="G960" s="3" t="str">
        <f>HYPERLINK("http://tmmp-catalog.com.ua/katalog/37/18564/","фото")</f>
        <v>фото</v>
      </c>
      <c r="H960" s="22"/>
    </row>
    <row r="961" spans="1:8" ht="15" x14ac:dyDescent="0.2">
      <c r="A961" s="18">
        <v>2000000012056</v>
      </c>
      <c r="B961" s="19" t="s">
        <v>1967</v>
      </c>
      <c r="C961" s="20" t="s">
        <v>1968</v>
      </c>
      <c r="D961" s="2">
        <v>23</v>
      </c>
      <c r="E961" s="21"/>
      <c r="F961" s="2">
        <f t="shared" si="21"/>
        <v>0</v>
      </c>
      <c r="G961" s="3" t="str">
        <f>HYPERLINK("http://tmmp-catalog.com.ua/katalog/2/14809/","фото")</f>
        <v>фото</v>
      </c>
      <c r="H961" s="22"/>
    </row>
    <row r="962" spans="1:8" ht="15" x14ac:dyDescent="0.2">
      <c r="A962" s="18"/>
      <c r="B962" s="19" t="s">
        <v>1969</v>
      </c>
      <c r="C962" s="20" t="s">
        <v>1970</v>
      </c>
      <c r="D962" s="2">
        <v>9</v>
      </c>
      <c r="E962" s="21"/>
      <c r="F962" s="2">
        <f t="shared" si="21"/>
        <v>0</v>
      </c>
      <c r="G962" s="3" t="str">
        <f>HYPERLINK("http://tmmp-catalog.com.ua/katalog/37/18406/","фото")</f>
        <v>фото</v>
      </c>
      <c r="H962" s="22"/>
    </row>
    <row r="963" spans="1:8" ht="15" x14ac:dyDescent="0.2">
      <c r="A963" s="18">
        <v>2000000012070</v>
      </c>
      <c r="B963" s="19" t="s">
        <v>1971</v>
      </c>
      <c r="C963" s="20" t="s">
        <v>1972</v>
      </c>
      <c r="D963" s="2">
        <v>13</v>
      </c>
      <c r="E963" s="21"/>
      <c r="F963" s="2">
        <f t="shared" si="21"/>
        <v>0</v>
      </c>
      <c r="G963" s="3" t="str">
        <f>HYPERLINK("http://tmmp-catalog.com.ua/katalog/2/14811/","фото")</f>
        <v>фото</v>
      </c>
      <c r="H963" s="22"/>
    </row>
    <row r="964" spans="1:8" ht="15" x14ac:dyDescent="0.2">
      <c r="A964" s="18">
        <v>2000000012063</v>
      </c>
      <c r="B964" s="19" t="s">
        <v>1973</v>
      </c>
      <c r="C964" s="20" t="s">
        <v>1974</v>
      </c>
      <c r="D964" s="2">
        <v>12</v>
      </c>
      <c r="E964" s="21"/>
      <c r="F964" s="2">
        <f t="shared" si="21"/>
        <v>0</v>
      </c>
      <c r="G964" s="3" t="str">
        <f>HYPERLINK("http://tmmp-catalog.com.ua/katalog/2/14810/","фото")</f>
        <v>фото</v>
      </c>
      <c r="H964" s="22"/>
    </row>
    <row r="965" spans="1:8" ht="15" x14ac:dyDescent="0.2">
      <c r="A965" s="18"/>
      <c r="B965" s="19" t="s">
        <v>1975</v>
      </c>
      <c r="C965" s="20" t="s">
        <v>1976</v>
      </c>
      <c r="D965" s="2">
        <v>1</v>
      </c>
      <c r="E965" s="21"/>
      <c r="F965" s="2">
        <f t="shared" si="21"/>
        <v>0</v>
      </c>
      <c r="G965" s="3" t="str">
        <f>HYPERLINK("http://tmmp-catalog.com.ua/katalog/1/17776/","фото")</f>
        <v>фото</v>
      </c>
      <c r="H965" s="22"/>
    </row>
    <row r="966" spans="1:8" ht="15" x14ac:dyDescent="0.2">
      <c r="A966" s="18"/>
      <c r="B966" s="19" t="s">
        <v>1977</v>
      </c>
      <c r="C966" s="20" t="s">
        <v>1978</v>
      </c>
      <c r="D966" s="2">
        <v>9</v>
      </c>
      <c r="E966" s="21"/>
      <c r="F966" s="2">
        <f t="shared" si="21"/>
        <v>0</v>
      </c>
      <c r="G966" s="3" t="str">
        <f>HYPERLINK("http://tmmp-catalog.com.ua/katalog/37/18576/","фото")</f>
        <v>фото</v>
      </c>
      <c r="H966" s="22"/>
    </row>
    <row r="967" spans="1:8" ht="15" x14ac:dyDescent="0.2">
      <c r="A967" s="18">
        <v>2000000013404</v>
      </c>
      <c r="B967" s="19" t="s">
        <v>1979</v>
      </c>
      <c r="C967" s="20" t="s">
        <v>1980</v>
      </c>
      <c r="D967" s="2">
        <v>13</v>
      </c>
      <c r="E967" s="21"/>
      <c r="F967" s="2">
        <f t="shared" si="21"/>
        <v>0</v>
      </c>
      <c r="G967" s="3" t="str">
        <f>HYPERLINK("http://tmmp-catalog.com.ua/katalog/2/14947/","фото")</f>
        <v>фото</v>
      </c>
      <c r="H967" s="22"/>
    </row>
    <row r="968" spans="1:8" ht="15" x14ac:dyDescent="0.2">
      <c r="A968" s="18">
        <v>2000000013169</v>
      </c>
      <c r="B968" s="19" t="s">
        <v>1981</v>
      </c>
      <c r="C968" s="20" t="s">
        <v>1982</v>
      </c>
      <c r="D968" s="2">
        <v>9</v>
      </c>
      <c r="E968" s="21"/>
      <c r="F968" s="2">
        <f t="shared" si="21"/>
        <v>0</v>
      </c>
      <c r="G968" s="3" t="str">
        <f>HYPERLINK("http://tmmp-catalog.com.ua/katalog/2/14923/","фото")</f>
        <v>фото</v>
      </c>
      <c r="H968" s="22"/>
    </row>
    <row r="969" spans="1:8" ht="15" x14ac:dyDescent="0.2">
      <c r="A969" s="18">
        <v>2000000001876</v>
      </c>
      <c r="B969" s="19" t="s">
        <v>1983</v>
      </c>
      <c r="C969" s="20" t="s">
        <v>1984</v>
      </c>
      <c r="D969" s="2">
        <v>2.1</v>
      </c>
      <c r="E969" s="21"/>
      <c r="F969" s="2">
        <f t="shared" si="21"/>
        <v>0</v>
      </c>
      <c r="G969" s="3" t="str">
        <f>HYPERLINK("http://tmmp-catalog.com.ua/katalog/1/16812/","фото")</f>
        <v>фото</v>
      </c>
      <c r="H969" s="22"/>
    </row>
    <row r="970" spans="1:8" ht="15" x14ac:dyDescent="0.2">
      <c r="A970" s="18">
        <v>2000000013411</v>
      </c>
      <c r="B970" s="19" t="s">
        <v>1985</v>
      </c>
      <c r="C970" s="20" t="s">
        <v>1986</v>
      </c>
      <c r="D970" s="2">
        <v>2.1</v>
      </c>
      <c r="E970" s="21"/>
      <c r="F970" s="2">
        <f t="shared" si="21"/>
        <v>0</v>
      </c>
      <c r="G970" s="3" t="str">
        <f>HYPERLINK("http://tmmp-catalog.com.ua/katalog/2/14948/","фото")</f>
        <v>фото</v>
      </c>
      <c r="H970" s="22"/>
    </row>
    <row r="971" spans="1:8" ht="15" x14ac:dyDescent="0.2">
      <c r="A971" s="18">
        <v>2000000013435</v>
      </c>
      <c r="B971" s="19" t="s">
        <v>1987</v>
      </c>
      <c r="C971" s="20" t="s">
        <v>1988</v>
      </c>
      <c r="D971" s="2">
        <v>2</v>
      </c>
      <c r="E971" s="21"/>
      <c r="F971" s="2">
        <f t="shared" si="21"/>
        <v>0</v>
      </c>
      <c r="G971" s="3" t="str">
        <f>HYPERLINK("http://tmmp-catalog.com.ua/katalog/2/14950/","фото")</f>
        <v>фото</v>
      </c>
      <c r="H971" s="22"/>
    </row>
    <row r="972" spans="1:8" ht="15" x14ac:dyDescent="0.2">
      <c r="A972" s="18"/>
      <c r="B972" s="19" t="s">
        <v>1989</v>
      </c>
      <c r="C972" s="20" t="s">
        <v>1990</v>
      </c>
      <c r="D972" s="2">
        <v>7</v>
      </c>
      <c r="E972" s="21"/>
      <c r="F972" s="2">
        <f t="shared" ref="F972:F1035" si="22">cena*zakaz</f>
        <v>0</v>
      </c>
      <c r="G972" s="3" t="str">
        <f>HYPERLINK("http://tmmp-catalog.com.ua/katalog/37/18408/","фото")</f>
        <v>фото</v>
      </c>
      <c r="H972" s="22"/>
    </row>
    <row r="973" spans="1:8" ht="15" x14ac:dyDescent="0.2">
      <c r="A973" s="18"/>
      <c r="B973" s="19" t="s">
        <v>1991</v>
      </c>
      <c r="C973" s="20" t="s">
        <v>1992</v>
      </c>
      <c r="D973" s="2">
        <v>8.5</v>
      </c>
      <c r="E973" s="21"/>
      <c r="F973" s="2">
        <f t="shared" si="22"/>
        <v>0</v>
      </c>
      <c r="G973" s="3" t="str">
        <f>HYPERLINK("http://tmmp-catalog.com.ua/katalog/37/18409/","фото")</f>
        <v>фото</v>
      </c>
      <c r="H973" s="22"/>
    </row>
    <row r="974" spans="1:8" ht="15" x14ac:dyDescent="0.2">
      <c r="A974" s="18">
        <v>2000000013428</v>
      </c>
      <c r="B974" s="19" t="s">
        <v>1993</v>
      </c>
      <c r="C974" s="20" t="s">
        <v>1994</v>
      </c>
      <c r="D974" s="2">
        <v>5.5</v>
      </c>
      <c r="E974" s="21"/>
      <c r="F974" s="2">
        <f t="shared" si="22"/>
        <v>0</v>
      </c>
      <c r="G974" s="3" t="str">
        <f>HYPERLINK("http://tmmp-catalog.com.ua/katalog/2/14949/","фото")</f>
        <v>фото</v>
      </c>
      <c r="H974" s="22"/>
    </row>
    <row r="975" spans="1:8" ht="15" x14ac:dyDescent="0.2">
      <c r="A975" s="18">
        <v>2000000013305</v>
      </c>
      <c r="B975" s="19" t="s">
        <v>1995</v>
      </c>
      <c r="C975" s="20" t="s">
        <v>1996</v>
      </c>
      <c r="D975" s="2">
        <v>12.5</v>
      </c>
      <c r="E975" s="21"/>
      <c r="F975" s="2">
        <f t="shared" si="22"/>
        <v>0</v>
      </c>
      <c r="G975" s="3" t="str">
        <f>HYPERLINK("http://tmmp-catalog.com.ua/katalog/2/14937/","фото")</f>
        <v>фото</v>
      </c>
      <c r="H975" s="22"/>
    </row>
    <row r="976" spans="1:8" ht="15" x14ac:dyDescent="0.2">
      <c r="A976" s="18">
        <v>2000000013312</v>
      </c>
      <c r="B976" s="19" t="s">
        <v>1997</v>
      </c>
      <c r="C976" s="20" t="s">
        <v>1998</v>
      </c>
      <c r="D976" s="2">
        <v>16</v>
      </c>
      <c r="E976" s="21"/>
      <c r="F976" s="2">
        <f t="shared" si="22"/>
        <v>0</v>
      </c>
      <c r="G976" s="3" t="str">
        <f>HYPERLINK("http://tmmp-catalog.com.ua/katalog/2/14938/","фото")</f>
        <v>фото</v>
      </c>
      <c r="H976" s="22"/>
    </row>
    <row r="977" spans="1:8" ht="15" x14ac:dyDescent="0.2">
      <c r="A977" s="18">
        <v>2000000013329</v>
      </c>
      <c r="B977" s="19" t="s">
        <v>1999</v>
      </c>
      <c r="C977" s="20" t="s">
        <v>2000</v>
      </c>
      <c r="D977" s="2">
        <v>12</v>
      </c>
      <c r="E977" s="21"/>
      <c r="F977" s="2">
        <f t="shared" si="22"/>
        <v>0</v>
      </c>
      <c r="G977" s="3" t="str">
        <f>HYPERLINK("http://tmmp-catalog.com.ua/katalog/2/14939/","фото")</f>
        <v>фото</v>
      </c>
      <c r="H977" s="22"/>
    </row>
    <row r="978" spans="1:8" ht="15" x14ac:dyDescent="0.2">
      <c r="A978" s="18">
        <v>2000000013336</v>
      </c>
      <c r="B978" s="19" t="s">
        <v>2001</v>
      </c>
      <c r="C978" s="20" t="s">
        <v>2002</v>
      </c>
      <c r="D978" s="2">
        <v>10</v>
      </c>
      <c r="E978" s="21"/>
      <c r="F978" s="2">
        <f t="shared" si="22"/>
        <v>0</v>
      </c>
      <c r="G978" s="3" t="str">
        <f>HYPERLINK("http://tmmp-catalog.com.ua/katalog/2/14940/","фото")</f>
        <v>фото</v>
      </c>
      <c r="H978" s="22"/>
    </row>
    <row r="979" spans="1:8" ht="15" x14ac:dyDescent="0.2">
      <c r="A979" s="18">
        <v>2000000013282</v>
      </c>
      <c r="B979" s="19" t="s">
        <v>2003</v>
      </c>
      <c r="C979" s="20" t="s">
        <v>2004</v>
      </c>
      <c r="D979" s="2">
        <v>11</v>
      </c>
      <c r="E979" s="21"/>
      <c r="F979" s="2">
        <f t="shared" si="22"/>
        <v>0</v>
      </c>
      <c r="G979" s="3" t="str">
        <f>HYPERLINK("http://tmmp-catalog.com.ua/katalog/2/14935/","фото")</f>
        <v>фото</v>
      </c>
      <c r="H979" s="22"/>
    </row>
    <row r="980" spans="1:8" ht="15" x14ac:dyDescent="0.2">
      <c r="A980" s="18">
        <v>2000000013299</v>
      </c>
      <c r="B980" s="19" t="s">
        <v>2005</v>
      </c>
      <c r="C980" s="20" t="s">
        <v>2006</v>
      </c>
      <c r="D980" s="2">
        <v>20</v>
      </c>
      <c r="E980" s="21"/>
      <c r="F980" s="2">
        <f t="shared" si="22"/>
        <v>0</v>
      </c>
      <c r="G980" s="3" t="str">
        <f>HYPERLINK("http://tmmp-catalog.com.ua/katalog/2/14936/","фото")</f>
        <v>фото</v>
      </c>
      <c r="H980" s="22"/>
    </row>
    <row r="981" spans="1:8" ht="15" x14ac:dyDescent="0.2">
      <c r="A981" s="18"/>
      <c r="B981" s="19" t="s">
        <v>2007</v>
      </c>
      <c r="C981" s="20" t="s">
        <v>2008</v>
      </c>
      <c r="D981" s="2">
        <v>4</v>
      </c>
      <c r="E981" s="21"/>
      <c r="F981" s="2">
        <f t="shared" si="22"/>
        <v>0</v>
      </c>
      <c r="G981" s="3" t="str">
        <f>HYPERLINK("http://tmmp-catalog.com.ua/katalog/37/18567/","фото")</f>
        <v>фото</v>
      </c>
      <c r="H981" s="22"/>
    </row>
    <row r="982" spans="1:8" ht="15" x14ac:dyDescent="0.2">
      <c r="A982" s="18"/>
      <c r="B982" s="19" t="s">
        <v>2009</v>
      </c>
      <c r="C982" s="20" t="s">
        <v>2010</v>
      </c>
      <c r="D982" s="2">
        <v>3.2</v>
      </c>
      <c r="E982" s="21"/>
      <c r="F982" s="2">
        <f t="shared" si="22"/>
        <v>0</v>
      </c>
      <c r="G982" s="3" t="str">
        <f>HYPERLINK("http://tmmp-catalog.com.ua/katalog/37/18412/","фото")</f>
        <v>фото</v>
      </c>
      <c r="H982" s="22"/>
    </row>
    <row r="983" spans="1:8" ht="15" x14ac:dyDescent="0.2">
      <c r="A983" s="18"/>
      <c r="B983" s="19" t="s">
        <v>2011</v>
      </c>
      <c r="C983" s="20" t="s">
        <v>2012</v>
      </c>
      <c r="D983" s="2">
        <v>4</v>
      </c>
      <c r="E983" s="21"/>
      <c r="F983" s="2">
        <f t="shared" si="22"/>
        <v>0</v>
      </c>
      <c r="G983" s="3" t="str">
        <f>HYPERLINK("http://tmmp-catalog.com.ua/katalog/37/18413/","фото")</f>
        <v>фото</v>
      </c>
      <c r="H983" s="22"/>
    </row>
    <row r="984" spans="1:8" ht="15" x14ac:dyDescent="0.2">
      <c r="A984" s="18">
        <v>2000000013442</v>
      </c>
      <c r="B984" s="19" t="s">
        <v>2013</v>
      </c>
      <c r="C984" s="20" t="s">
        <v>2014</v>
      </c>
      <c r="D984" s="2">
        <v>2</v>
      </c>
      <c r="E984" s="21"/>
      <c r="F984" s="2">
        <f t="shared" si="22"/>
        <v>0</v>
      </c>
      <c r="G984" s="3" t="str">
        <f>HYPERLINK("http://tmmp-catalog.com.ua/katalog/2/14952/","фото")</f>
        <v>фото</v>
      </c>
      <c r="H984" s="22"/>
    </row>
    <row r="985" spans="1:8" ht="15" x14ac:dyDescent="0.2">
      <c r="A985" s="18">
        <v>2000000013275</v>
      </c>
      <c r="B985" s="19" t="s">
        <v>2015</v>
      </c>
      <c r="C985" s="20" t="s">
        <v>2016</v>
      </c>
      <c r="D985" s="2">
        <v>2.7</v>
      </c>
      <c r="E985" s="21"/>
      <c r="F985" s="2">
        <f t="shared" si="22"/>
        <v>0</v>
      </c>
      <c r="G985" s="3" t="str">
        <f>HYPERLINK("http://tmmp-catalog.com.ua/katalog/2/14934/","фото")</f>
        <v>фото</v>
      </c>
      <c r="H985" s="22"/>
    </row>
    <row r="986" spans="1:8" ht="15" x14ac:dyDescent="0.2">
      <c r="A986" s="18">
        <v>2000000013466</v>
      </c>
      <c r="B986" s="19" t="s">
        <v>2017</v>
      </c>
      <c r="C986" s="20" t="s">
        <v>2018</v>
      </c>
      <c r="D986" s="2">
        <v>2.7</v>
      </c>
      <c r="E986" s="21"/>
      <c r="F986" s="2">
        <f t="shared" si="22"/>
        <v>0</v>
      </c>
      <c r="G986" s="3" t="str">
        <f>HYPERLINK("http://tmmp-catalog.com.ua/katalog/2/14954/","фото")</f>
        <v>фото</v>
      </c>
      <c r="H986" s="22"/>
    </row>
    <row r="987" spans="1:8" ht="15" x14ac:dyDescent="0.2">
      <c r="A987" s="18"/>
      <c r="B987" s="19" t="s">
        <v>2019</v>
      </c>
      <c r="C987" s="20" t="s">
        <v>2020</v>
      </c>
      <c r="D987" s="2">
        <v>2.7</v>
      </c>
      <c r="E987" s="21"/>
      <c r="F987" s="2">
        <f t="shared" si="22"/>
        <v>0</v>
      </c>
      <c r="G987" s="3" t="str">
        <f>HYPERLINK("http://tmmp-catalog.com.ua/katalog/37/18417/","фото")</f>
        <v>фото</v>
      </c>
      <c r="H987" s="22"/>
    </row>
    <row r="988" spans="1:8" ht="15" x14ac:dyDescent="0.2">
      <c r="A988" s="18">
        <v>2000000006185</v>
      </c>
      <c r="B988" s="19" t="s">
        <v>2021</v>
      </c>
      <c r="C988" s="20" t="s">
        <v>2022</v>
      </c>
      <c r="D988" s="2">
        <v>2.5</v>
      </c>
      <c r="E988" s="21"/>
      <c r="F988" s="2">
        <f t="shared" si="22"/>
        <v>0</v>
      </c>
      <c r="G988" s="3" t="str">
        <f>HYPERLINK("http://tmmp-catalog.com.ua/katalog/13/15804/","фото")</f>
        <v>фото</v>
      </c>
      <c r="H988" s="22"/>
    </row>
    <row r="989" spans="1:8" ht="15" x14ac:dyDescent="0.2">
      <c r="A989" s="18">
        <v>2000000013473</v>
      </c>
      <c r="B989" s="19" t="s">
        <v>2023</v>
      </c>
      <c r="C989" s="20" t="s">
        <v>2024</v>
      </c>
      <c r="D989" s="2">
        <v>3.5</v>
      </c>
      <c r="E989" s="21"/>
      <c r="F989" s="2">
        <f t="shared" si="22"/>
        <v>0</v>
      </c>
      <c r="G989" s="3" t="str">
        <f>HYPERLINK("http://tmmp-catalog.com.ua/katalog/2/14955/","фото")</f>
        <v>фото</v>
      </c>
      <c r="H989" s="22"/>
    </row>
    <row r="990" spans="1:8" ht="15" x14ac:dyDescent="0.2">
      <c r="A990" s="18">
        <v>2000000013480</v>
      </c>
      <c r="B990" s="19" t="s">
        <v>2025</v>
      </c>
      <c r="C990" s="20" t="s">
        <v>2026</v>
      </c>
      <c r="D990" s="2">
        <v>3.5</v>
      </c>
      <c r="E990" s="21"/>
      <c r="F990" s="2">
        <f t="shared" si="22"/>
        <v>0</v>
      </c>
      <c r="G990" s="3" t="str">
        <f>HYPERLINK("http://tmmp-catalog.com.ua/katalog/2/14956/","фото")</f>
        <v>фото</v>
      </c>
      <c r="H990" s="22"/>
    </row>
    <row r="991" spans="1:8" ht="15" x14ac:dyDescent="0.2">
      <c r="A991" s="18"/>
      <c r="B991" s="19" t="s">
        <v>2027</v>
      </c>
      <c r="C991" s="20" t="s">
        <v>2028</v>
      </c>
      <c r="D991" s="2">
        <v>2</v>
      </c>
      <c r="E991" s="21"/>
      <c r="F991" s="2">
        <f t="shared" si="22"/>
        <v>0</v>
      </c>
      <c r="G991" s="3" t="str">
        <f>HYPERLINK("http://tmmp-catalog.com.ua/katalog/37/18573/","фото")</f>
        <v>фото</v>
      </c>
      <c r="H991" s="22"/>
    </row>
    <row r="992" spans="1:8" ht="15" x14ac:dyDescent="0.2">
      <c r="A992" s="18">
        <v>2000000013510</v>
      </c>
      <c r="B992" s="19" t="s">
        <v>2029</v>
      </c>
      <c r="C992" s="20" t="s">
        <v>2030</v>
      </c>
      <c r="D992" s="2">
        <v>0.15</v>
      </c>
      <c r="E992" s="21"/>
      <c r="F992" s="2">
        <f t="shared" si="22"/>
        <v>0</v>
      </c>
      <c r="G992" s="3" t="str">
        <f>HYPERLINK("http://tmmp-catalog.com.ua/katalog/2/14959/","фото")</f>
        <v>фото</v>
      </c>
      <c r="H992" s="22"/>
    </row>
    <row r="993" spans="1:8" ht="15" x14ac:dyDescent="0.2">
      <c r="A993" s="18">
        <v>2000000001791</v>
      </c>
      <c r="B993" s="19" t="s">
        <v>2031</v>
      </c>
      <c r="C993" s="20" t="s">
        <v>2032</v>
      </c>
      <c r="D993" s="2">
        <v>0.4</v>
      </c>
      <c r="E993" s="21"/>
      <c r="F993" s="2">
        <f t="shared" si="22"/>
        <v>0</v>
      </c>
      <c r="G993" s="3" t="str">
        <f>HYPERLINK("http://tmmp-catalog.com.ua/katalog/1/16615/","фото")</f>
        <v>фото</v>
      </c>
      <c r="H993" s="22"/>
    </row>
    <row r="994" spans="1:8" ht="15" x14ac:dyDescent="0.2">
      <c r="A994" s="18">
        <v>2000000013541</v>
      </c>
      <c r="B994" s="19" t="s">
        <v>2033</v>
      </c>
      <c r="C994" s="20" t="s">
        <v>2034</v>
      </c>
      <c r="D994" s="2">
        <v>3</v>
      </c>
      <c r="E994" s="21"/>
      <c r="F994" s="2">
        <f t="shared" si="22"/>
        <v>0</v>
      </c>
      <c r="G994" s="3" t="str">
        <f>HYPERLINK("http://tmmp-catalog.com.ua/katalog/2/14962/","фото")</f>
        <v>фото</v>
      </c>
      <c r="H994" s="22"/>
    </row>
    <row r="995" spans="1:8" ht="15" x14ac:dyDescent="0.2">
      <c r="A995" s="18">
        <v>2000000013558</v>
      </c>
      <c r="B995" s="19" t="s">
        <v>2035</v>
      </c>
      <c r="C995" s="20" t="s">
        <v>2036</v>
      </c>
      <c r="D995" s="2">
        <v>1.8</v>
      </c>
      <c r="E995" s="21"/>
      <c r="F995" s="2">
        <f t="shared" si="22"/>
        <v>0</v>
      </c>
      <c r="G995" s="3" t="str">
        <f>HYPERLINK("http://tmmp-catalog.com.ua/katalog/2/14963/","фото")</f>
        <v>фото</v>
      </c>
      <c r="H995" s="22"/>
    </row>
    <row r="996" spans="1:8" ht="15" x14ac:dyDescent="0.2">
      <c r="A996" s="18">
        <v>2000000013572</v>
      </c>
      <c r="B996" s="19" t="s">
        <v>2037</v>
      </c>
      <c r="C996" s="20" t="s">
        <v>2038</v>
      </c>
      <c r="D996" s="2">
        <v>1.8</v>
      </c>
      <c r="E996" s="21"/>
      <c r="F996" s="2">
        <f t="shared" si="22"/>
        <v>0</v>
      </c>
      <c r="G996" s="3" t="str">
        <f>HYPERLINK("http://tmmp-catalog.com.ua/katalog/2/14965/","фото")</f>
        <v>фото</v>
      </c>
      <c r="H996" s="22"/>
    </row>
    <row r="997" spans="1:8" ht="15" x14ac:dyDescent="0.2">
      <c r="A997" s="18">
        <v>2000000013565</v>
      </c>
      <c r="B997" s="19" t="s">
        <v>2039</v>
      </c>
      <c r="C997" s="20" t="s">
        <v>2040</v>
      </c>
      <c r="D997" s="2">
        <v>1.4</v>
      </c>
      <c r="E997" s="21"/>
      <c r="F997" s="2">
        <f t="shared" si="22"/>
        <v>0</v>
      </c>
      <c r="G997" s="3" t="str">
        <f>HYPERLINK("http://tmmp-catalog.com.ua/katalog/2/14964/","фото")</f>
        <v>фото</v>
      </c>
      <c r="H997" s="22"/>
    </row>
    <row r="998" spans="1:8" ht="15" x14ac:dyDescent="0.2">
      <c r="A998" s="18">
        <v>2000000013619</v>
      </c>
      <c r="B998" s="19" t="s">
        <v>2041</v>
      </c>
      <c r="C998" s="20" t="s">
        <v>2042</v>
      </c>
      <c r="D998" s="2">
        <v>2.2999999999999998</v>
      </c>
      <c r="E998" s="21"/>
      <c r="F998" s="2">
        <f t="shared" si="22"/>
        <v>0</v>
      </c>
      <c r="G998" s="3" t="str">
        <f>HYPERLINK("http://tmmp-catalog.com.ua/katalog/2/14969/","фото")</f>
        <v>фото</v>
      </c>
      <c r="H998" s="22"/>
    </row>
    <row r="999" spans="1:8" ht="15" x14ac:dyDescent="0.2">
      <c r="A999" s="18">
        <v>2000000013626</v>
      </c>
      <c r="B999" s="19" t="s">
        <v>2043</v>
      </c>
      <c r="C999" s="20" t="s">
        <v>2044</v>
      </c>
      <c r="D999" s="2">
        <v>2</v>
      </c>
      <c r="E999" s="21"/>
      <c r="F999" s="2">
        <f t="shared" si="22"/>
        <v>0</v>
      </c>
      <c r="G999" s="3" t="str">
        <f>HYPERLINK("http://tmmp-catalog.com.ua/katalog/2/14970/","фото")</f>
        <v>фото</v>
      </c>
      <c r="H999" s="22"/>
    </row>
    <row r="1000" spans="1:8" ht="15" x14ac:dyDescent="0.2">
      <c r="A1000" s="18"/>
      <c r="B1000" s="19" t="s">
        <v>2045</v>
      </c>
      <c r="C1000" s="20" t="s">
        <v>2046</v>
      </c>
      <c r="D1000" s="2">
        <v>2</v>
      </c>
      <c r="E1000" s="21"/>
      <c r="F1000" s="2">
        <f t="shared" si="22"/>
        <v>0</v>
      </c>
      <c r="G1000" s="3" t="str">
        <f>HYPERLINK("http://tmmp-catalog.com.ua/katalog/37/18445/","фото")</f>
        <v>фото</v>
      </c>
      <c r="H1000" s="22"/>
    </row>
    <row r="1001" spans="1:8" ht="15" x14ac:dyDescent="0.2">
      <c r="A1001" s="18">
        <v>2000000013800</v>
      </c>
      <c r="B1001" s="19" t="s">
        <v>2047</v>
      </c>
      <c r="C1001" s="20" t="s">
        <v>2048</v>
      </c>
      <c r="D1001" s="2">
        <v>4.8</v>
      </c>
      <c r="E1001" s="21"/>
      <c r="F1001" s="2">
        <f t="shared" si="22"/>
        <v>0</v>
      </c>
      <c r="G1001" s="3" t="str">
        <f>HYPERLINK("http://tmmp-catalog.com.ua/katalog/2/14989/","фото")</f>
        <v>фото</v>
      </c>
      <c r="H1001" s="22"/>
    </row>
    <row r="1002" spans="1:8" ht="15" x14ac:dyDescent="0.2">
      <c r="A1002" s="18">
        <v>2000000014852</v>
      </c>
      <c r="B1002" s="19" t="s">
        <v>2049</v>
      </c>
      <c r="C1002" s="20" t="s">
        <v>2050</v>
      </c>
      <c r="D1002" s="2">
        <v>2.5</v>
      </c>
      <c r="E1002" s="21"/>
      <c r="F1002" s="2">
        <f t="shared" si="22"/>
        <v>0</v>
      </c>
      <c r="G1002" s="3" t="str">
        <f>HYPERLINK("http://tmmp-catalog.com.ua/katalog/2/16543/","фото")</f>
        <v>фото</v>
      </c>
      <c r="H1002" s="22"/>
    </row>
    <row r="1003" spans="1:8" ht="15" x14ac:dyDescent="0.2">
      <c r="A1003" s="18"/>
      <c r="B1003" s="19" t="s">
        <v>2051</v>
      </c>
      <c r="C1003" s="20" t="s">
        <v>2052</v>
      </c>
      <c r="D1003" s="2">
        <v>1.5</v>
      </c>
      <c r="E1003" s="21"/>
      <c r="F1003" s="2">
        <f t="shared" si="22"/>
        <v>0</v>
      </c>
      <c r="G1003" s="3" t="str">
        <f>HYPERLINK("http://tmmp-catalog.com.ua/katalog/37/18447/","фото")</f>
        <v>фото</v>
      </c>
      <c r="H1003" s="22"/>
    </row>
    <row r="1004" spans="1:8" ht="15" x14ac:dyDescent="0.2">
      <c r="A1004" s="18">
        <v>2000000001074</v>
      </c>
      <c r="B1004" s="19" t="s">
        <v>2053</v>
      </c>
      <c r="C1004" s="20" t="s">
        <v>2054</v>
      </c>
      <c r="D1004" s="2">
        <v>1.5</v>
      </c>
      <c r="E1004" s="21"/>
      <c r="F1004" s="2">
        <f t="shared" si="22"/>
        <v>0</v>
      </c>
      <c r="G1004" s="3" t="str">
        <f>HYPERLINK("http://tmmp-catalog.com.ua/katalog/1/14727/","фото")</f>
        <v>фото</v>
      </c>
      <c r="H1004" s="22"/>
    </row>
    <row r="1005" spans="1:8" ht="15" x14ac:dyDescent="0.2">
      <c r="A1005" s="18">
        <v>2000000001081</v>
      </c>
      <c r="B1005" s="19" t="s">
        <v>2055</v>
      </c>
      <c r="C1005" s="20" t="s">
        <v>2056</v>
      </c>
      <c r="D1005" s="2">
        <v>1.5</v>
      </c>
      <c r="E1005" s="21"/>
      <c r="F1005" s="2">
        <f t="shared" si="22"/>
        <v>0</v>
      </c>
      <c r="G1005" s="3" t="str">
        <f>HYPERLINK("http://tmmp-catalog.com.ua/katalog/1/14728/","фото")</f>
        <v>фото</v>
      </c>
      <c r="H1005" s="22"/>
    </row>
    <row r="1006" spans="1:8" ht="15" x14ac:dyDescent="0.2">
      <c r="A1006" s="18">
        <v>2000000001098</v>
      </c>
      <c r="B1006" s="19" t="s">
        <v>2057</v>
      </c>
      <c r="C1006" s="20" t="s">
        <v>2058</v>
      </c>
      <c r="D1006" s="2">
        <v>1.5</v>
      </c>
      <c r="E1006" s="21"/>
      <c r="F1006" s="2">
        <f t="shared" si="22"/>
        <v>0</v>
      </c>
      <c r="G1006" s="3" t="str">
        <f>HYPERLINK("http://tmmp-catalog.com.ua/katalog/1/14729/","фото")</f>
        <v>фото</v>
      </c>
      <c r="H1006" s="22"/>
    </row>
    <row r="1007" spans="1:8" ht="15" x14ac:dyDescent="0.2">
      <c r="A1007" s="18">
        <v>2000000001104</v>
      </c>
      <c r="B1007" s="19" t="s">
        <v>2059</v>
      </c>
      <c r="C1007" s="20" t="s">
        <v>2060</v>
      </c>
      <c r="D1007" s="2">
        <v>1.5</v>
      </c>
      <c r="E1007" s="21"/>
      <c r="F1007" s="2">
        <f t="shared" si="22"/>
        <v>0</v>
      </c>
      <c r="G1007" s="3" t="str">
        <f>HYPERLINK("http://tmmp-catalog.com.ua/katalog/1/14730/","фото")</f>
        <v>фото</v>
      </c>
      <c r="H1007" s="22"/>
    </row>
    <row r="1008" spans="1:8" ht="15" x14ac:dyDescent="0.2">
      <c r="A1008" s="18"/>
      <c r="B1008" s="19" t="s">
        <v>2061</v>
      </c>
      <c r="C1008" s="20" t="s">
        <v>2062</v>
      </c>
      <c r="D1008" s="2">
        <v>1.5</v>
      </c>
      <c r="E1008" s="21"/>
      <c r="F1008" s="2">
        <f t="shared" si="22"/>
        <v>0</v>
      </c>
      <c r="G1008" s="3" t="str">
        <f>HYPERLINK("http://tmmp-catalog.com.ua/katalog/37/18448/","фото")</f>
        <v>фото</v>
      </c>
      <c r="H1008" s="22"/>
    </row>
    <row r="1009" spans="1:8" ht="15" x14ac:dyDescent="0.2">
      <c r="A1009" s="18">
        <v>2000000001159</v>
      </c>
      <c r="B1009" s="19" t="s">
        <v>2063</v>
      </c>
      <c r="C1009" s="20" t="s">
        <v>2064</v>
      </c>
      <c r="D1009" s="2">
        <v>2</v>
      </c>
      <c r="E1009" s="21"/>
      <c r="F1009" s="2">
        <f t="shared" si="22"/>
        <v>0</v>
      </c>
      <c r="G1009" s="3" t="str">
        <f>HYPERLINK("http://tmmp-catalog.com.ua/katalog/1/14735/","фото")</f>
        <v>фото</v>
      </c>
      <c r="H1009" s="22"/>
    </row>
    <row r="1010" spans="1:8" ht="15" x14ac:dyDescent="0.2">
      <c r="A1010" s="18">
        <v>2000000001173</v>
      </c>
      <c r="B1010" s="19" t="s">
        <v>2065</v>
      </c>
      <c r="C1010" s="20" t="s">
        <v>2066</v>
      </c>
      <c r="D1010" s="2">
        <v>2.8</v>
      </c>
      <c r="E1010" s="21"/>
      <c r="F1010" s="2">
        <f t="shared" si="22"/>
        <v>0</v>
      </c>
      <c r="G1010" s="3" t="str">
        <f>HYPERLINK("http://tmmp-catalog.com.ua/katalog/1/14737/","фото")</f>
        <v>фото</v>
      </c>
      <c r="H1010" s="22"/>
    </row>
    <row r="1011" spans="1:8" ht="15" x14ac:dyDescent="0.2">
      <c r="A1011" s="18">
        <v>2000000001111</v>
      </c>
      <c r="B1011" s="19" t="s">
        <v>2067</v>
      </c>
      <c r="C1011" s="20" t="s">
        <v>2068</v>
      </c>
      <c r="D1011" s="2">
        <v>1.5</v>
      </c>
      <c r="E1011" s="21"/>
      <c r="F1011" s="2">
        <f t="shared" si="22"/>
        <v>0</v>
      </c>
      <c r="G1011" s="3" t="str">
        <f>HYPERLINK("http://tmmp-catalog.com.ua/katalog/1/14731/","фото")</f>
        <v>фото</v>
      </c>
      <c r="H1011" s="22"/>
    </row>
    <row r="1012" spans="1:8" ht="15" x14ac:dyDescent="0.2">
      <c r="A1012" s="18">
        <v>2000000001128</v>
      </c>
      <c r="B1012" s="19" t="s">
        <v>2069</v>
      </c>
      <c r="C1012" s="20" t="s">
        <v>2070</v>
      </c>
      <c r="D1012" s="2">
        <v>2</v>
      </c>
      <c r="E1012" s="21"/>
      <c r="F1012" s="2">
        <f t="shared" si="22"/>
        <v>0</v>
      </c>
      <c r="G1012" s="3" t="str">
        <f>HYPERLINK("http://tmmp-catalog.com.ua/katalog/1/14732/","фото")</f>
        <v>фото</v>
      </c>
      <c r="H1012" s="22"/>
    </row>
    <row r="1013" spans="1:8" ht="15" x14ac:dyDescent="0.2">
      <c r="A1013" s="18"/>
      <c r="B1013" s="19" t="s">
        <v>2071</v>
      </c>
      <c r="C1013" s="20" t="s">
        <v>2072</v>
      </c>
      <c r="D1013" s="2">
        <v>1.5</v>
      </c>
      <c r="E1013" s="21"/>
      <c r="F1013" s="2">
        <f t="shared" si="22"/>
        <v>0</v>
      </c>
      <c r="G1013" s="3" t="str">
        <f>HYPERLINK("http://tmmp-catalog.com.ua/katalog/37/18449/","фото")</f>
        <v>фото</v>
      </c>
      <c r="H1013" s="22"/>
    </row>
    <row r="1014" spans="1:8" ht="15" x14ac:dyDescent="0.2">
      <c r="A1014" s="18">
        <v>2000000001135</v>
      </c>
      <c r="B1014" s="19" t="s">
        <v>2073</v>
      </c>
      <c r="C1014" s="20" t="s">
        <v>2074</v>
      </c>
      <c r="D1014" s="2">
        <v>2.5</v>
      </c>
      <c r="E1014" s="21"/>
      <c r="F1014" s="2">
        <f t="shared" si="22"/>
        <v>0</v>
      </c>
      <c r="G1014" s="3" t="str">
        <f>HYPERLINK("http://tmmp-catalog.com.ua/katalog/1/14733/","фото")</f>
        <v>фото</v>
      </c>
      <c r="H1014" s="22"/>
    </row>
    <row r="1015" spans="1:8" ht="15" x14ac:dyDescent="0.2">
      <c r="A1015" s="18">
        <v>2000000001166</v>
      </c>
      <c r="B1015" s="19" t="s">
        <v>2075</v>
      </c>
      <c r="C1015" s="20" t="s">
        <v>2076</v>
      </c>
      <c r="D1015" s="2">
        <v>2.5</v>
      </c>
      <c r="E1015" s="21"/>
      <c r="F1015" s="2">
        <f t="shared" si="22"/>
        <v>0</v>
      </c>
      <c r="G1015" s="3" t="str">
        <f>HYPERLINK("http://tmmp-catalog.com.ua/katalog/1/14736/","фото")</f>
        <v>фото</v>
      </c>
      <c r="H1015" s="22"/>
    </row>
    <row r="1016" spans="1:8" ht="15" x14ac:dyDescent="0.2">
      <c r="A1016" s="18">
        <v>2000000013657</v>
      </c>
      <c r="B1016" s="19" t="s">
        <v>2077</v>
      </c>
      <c r="C1016" s="20" t="s">
        <v>2078</v>
      </c>
      <c r="D1016" s="2">
        <v>1.5</v>
      </c>
      <c r="E1016" s="21"/>
      <c r="F1016" s="2">
        <f t="shared" si="22"/>
        <v>0</v>
      </c>
      <c r="G1016" s="3" t="str">
        <f>HYPERLINK("http://tmmp-catalog.com.ua/katalog/2/14973/","фото")</f>
        <v>фото</v>
      </c>
      <c r="H1016" s="22"/>
    </row>
    <row r="1017" spans="1:8" ht="15" x14ac:dyDescent="0.2">
      <c r="A1017" s="18"/>
      <c r="B1017" s="19" t="s">
        <v>2079</v>
      </c>
      <c r="C1017" s="20" t="s">
        <v>2080</v>
      </c>
      <c r="D1017" s="2">
        <v>2</v>
      </c>
      <c r="E1017" s="21"/>
      <c r="F1017" s="2">
        <f t="shared" si="22"/>
        <v>0</v>
      </c>
      <c r="G1017" s="3" t="str">
        <f>HYPERLINK("http://tmmp-catalog.com.ua/katalog/37/18450/","фото")</f>
        <v>фото</v>
      </c>
      <c r="H1017" s="22"/>
    </row>
    <row r="1018" spans="1:8" ht="15" x14ac:dyDescent="0.2">
      <c r="A1018" s="18">
        <v>2000000014821</v>
      </c>
      <c r="B1018" s="19" t="s">
        <v>2081</v>
      </c>
      <c r="C1018" s="20" t="s">
        <v>2082</v>
      </c>
      <c r="D1018" s="2">
        <v>2</v>
      </c>
      <c r="E1018" s="21"/>
      <c r="F1018" s="2">
        <f t="shared" si="22"/>
        <v>0</v>
      </c>
      <c r="G1018" s="3" t="str">
        <f>HYPERLINK("http://tmmp-catalog.com.ua/katalog/2/16540/","фото")</f>
        <v>фото</v>
      </c>
      <c r="H1018" s="22"/>
    </row>
    <row r="1019" spans="1:8" ht="15" x14ac:dyDescent="0.2">
      <c r="A1019" s="18">
        <v>2000000014838</v>
      </c>
      <c r="B1019" s="19" t="s">
        <v>2083</v>
      </c>
      <c r="C1019" s="20" t="s">
        <v>2084</v>
      </c>
      <c r="D1019" s="2">
        <v>4.3</v>
      </c>
      <c r="E1019" s="21"/>
      <c r="F1019" s="2">
        <f t="shared" si="22"/>
        <v>0</v>
      </c>
      <c r="G1019" s="3" t="str">
        <f>HYPERLINK("http://tmmp-catalog.com.ua/katalog/2/16541/","фото")</f>
        <v>фото</v>
      </c>
      <c r="H1019" s="22"/>
    </row>
    <row r="1020" spans="1:8" ht="15" x14ac:dyDescent="0.2">
      <c r="A1020" s="18">
        <v>2000000013664</v>
      </c>
      <c r="B1020" s="19" t="s">
        <v>2085</v>
      </c>
      <c r="C1020" s="20" t="s">
        <v>2086</v>
      </c>
      <c r="D1020" s="2">
        <v>1.4</v>
      </c>
      <c r="E1020" s="21"/>
      <c r="F1020" s="2">
        <f t="shared" si="22"/>
        <v>0</v>
      </c>
      <c r="G1020" s="3" t="str">
        <f>HYPERLINK("http://tmmp-catalog.com.ua/katalog/2/14974/","фото")</f>
        <v>фото</v>
      </c>
      <c r="H1020" s="22"/>
    </row>
    <row r="1021" spans="1:8" ht="15" x14ac:dyDescent="0.2">
      <c r="A1021" s="18">
        <v>2000000013671</v>
      </c>
      <c r="B1021" s="19" t="s">
        <v>2087</v>
      </c>
      <c r="C1021" s="20" t="s">
        <v>2088</v>
      </c>
      <c r="D1021" s="2">
        <v>1.5</v>
      </c>
      <c r="E1021" s="21"/>
      <c r="F1021" s="2">
        <f t="shared" si="22"/>
        <v>0</v>
      </c>
      <c r="G1021" s="3" t="str">
        <f>HYPERLINK("http://tmmp-catalog.com.ua/katalog/2/14975/","фото")</f>
        <v>фото</v>
      </c>
      <c r="H1021" s="22"/>
    </row>
    <row r="1022" spans="1:8" ht="15" x14ac:dyDescent="0.2">
      <c r="A1022" s="18">
        <v>2000000013688</v>
      </c>
      <c r="B1022" s="19" t="s">
        <v>2089</v>
      </c>
      <c r="C1022" s="20" t="s">
        <v>2090</v>
      </c>
      <c r="D1022" s="2">
        <v>1.5</v>
      </c>
      <c r="E1022" s="21"/>
      <c r="F1022" s="2">
        <f t="shared" si="22"/>
        <v>0</v>
      </c>
      <c r="G1022" s="3" t="str">
        <f>HYPERLINK("http://tmmp-catalog.com.ua/katalog/2/14976/","фото")</f>
        <v>фото</v>
      </c>
      <c r="H1022" s="22"/>
    </row>
    <row r="1023" spans="1:8" ht="15" x14ac:dyDescent="0.2">
      <c r="A1023" s="18">
        <v>2000000014814</v>
      </c>
      <c r="B1023" s="19" t="s">
        <v>2091</v>
      </c>
      <c r="C1023" s="20" t="s">
        <v>2092</v>
      </c>
      <c r="D1023" s="2">
        <v>3.7</v>
      </c>
      <c r="E1023" s="21"/>
      <c r="F1023" s="2">
        <f t="shared" si="22"/>
        <v>0</v>
      </c>
      <c r="G1023" s="3" t="str">
        <f>HYPERLINK("http://tmmp-catalog.com.ua/katalog/2/16539/","фото")</f>
        <v>фото</v>
      </c>
      <c r="H1023" s="22"/>
    </row>
    <row r="1024" spans="1:8" ht="15" x14ac:dyDescent="0.2">
      <c r="A1024" s="18">
        <v>2000000013695</v>
      </c>
      <c r="B1024" s="19" t="s">
        <v>2093</v>
      </c>
      <c r="C1024" s="20" t="s">
        <v>2094</v>
      </c>
      <c r="D1024" s="2">
        <v>1.5</v>
      </c>
      <c r="E1024" s="21"/>
      <c r="F1024" s="2">
        <f t="shared" si="22"/>
        <v>0</v>
      </c>
      <c r="G1024" s="3" t="str">
        <f>HYPERLINK("http://tmmp-catalog.com.ua/katalog/2/14977/","фото")</f>
        <v>фото</v>
      </c>
      <c r="H1024" s="22"/>
    </row>
    <row r="1025" spans="1:8" ht="15" x14ac:dyDescent="0.2">
      <c r="A1025" s="18">
        <v>2000000013701</v>
      </c>
      <c r="B1025" s="19" t="s">
        <v>2095</v>
      </c>
      <c r="C1025" s="20" t="s">
        <v>2096</v>
      </c>
      <c r="D1025" s="2">
        <v>1.5</v>
      </c>
      <c r="E1025" s="21"/>
      <c r="F1025" s="2">
        <f t="shared" si="22"/>
        <v>0</v>
      </c>
      <c r="G1025" s="3" t="str">
        <f>HYPERLINK("http://tmmp-catalog.com.ua/katalog/2/14978/","фото")</f>
        <v>фото</v>
      </c>
      <c r="H1025" s="22"/>
    </row>
    <row r="1026" spans="1:8" ht="15" x14ac:dyDescent="0.2">
      <c r="A1026" s="18">
        <v>2000000013718</v>
      </c>
      <c r="B1026" s="19" t="s">
        <v>2097</v>
      </c>
      <c r="C1026" s="20" t="s">
        <v>2098</v>
      </c>
      <c r="D1026" s="2">
        <v>1.5</v>
      </c>
      <c r="E1026" s="21"/>
      <c r="F1026" s="2">
        <f t="shared" si="22"/>
        <v>0</v>
      </c>
      <c r="G1026" s="3" t="str">
        <f>HYPERLINK("http://tmmp-catalog.com.ua/katalog/2/14979/","фото")</f>
        <v>фото</v>
      </c>
      <c r="H1026" s="22"/>
    </row>
    <row r="1027" spans="1:8" ht="15" x14ac:dyDescent="0.2">
      <c r="A1027" s="18">
        <v>2000000013725</v>
      </c>
      <c r="B1027" s="19" t="s">
        <v>2099</v>
      </c>
      <c r="C1027" s="20" t="s">
        <v>2100</v>
      </c>
      <c r="D1027" s="2">
        <v>1.5</v>
      </c>
      <c r="E1027" s="21"/>
      <c r="F1027" s="2">
        <f t="shared" si="22"/>
        <v>0</v>
      </c>
      <c r="G1027" s="3" t="str">
        <f>HYPERLINK("http://tmmp-catalog.com.ua/katalog/2/14980/","фото")</f>
        <v>фото</v>
      </c>
      <c r="H1027" s="22"/>
    </row>
    <row r="1028" spans="1:8" ht="15" x14ac:dyDescent="0.2">
      <c r="A1028" s="18"/>
      <c r="B1028" s="19" t="s">
        <v>2101</v>
      </c>
      <c r="C1028" s="20" t="s">
        <v>2102</v>
      </c>
      <c r="D1028" s="2">
        <v>2</v>
      </c>
      <c r="E1028" s="21"/>
      <c r="F1028" s="2">
        <f t="shared" si="22"/>
        <v>0</v>
      </c>
      <c r="G1028" s="3" t="str">
        <f>HYPERLINK("http://tmmp-catalog.com.ua/katalog/37/18452/","фото")</f>
        <v>фото</v>
      </c>
      <c r="H1028" s="22"/>
    </row>
    <row r="1029" spans="1:8" ht="15" x14ac:dyDescent="0.2">
      <c r="A1029" s="18"/>
      <c r="B1029" s="19" t="s">
        <v>2103</v>
      </c>
      <c r="C1029" s="20" t="s">
        <v>2104</v>
      </c>
      <c r="D1029" s="2">
        <v>1.5</v>
      </c>
      <c r="E1029" s="21"/>
      <c r="F1029" s="2">
        <f t="shared" si="22"/>
        <v>0</v>
      </c>
      <c r="G1029" s="3" t="str">
        <f>HYPERLINK("http://tmmp-catalog.com.ua/katalog/37/18453/","фото")</f>
        <v>фото</v>
      </c>
      <c r="H1029" s="22"/>
    </row>
    <row r="1030" spans="1:8" ht="15" x14ac:dyDescent="0.2">
      <c r="A1030" s="18">
        <v>2000000013794</v>
      </c>
      <c r="B1030" s="19" t="s">
        <v>2105</v>
      </c>
      <c r="C1030" s="20" t="s">
        <v>2106</v>
      </c>
      <c r="D1030" s="2">
        <v>3</v>
      </c>
      <c r="E1030" s="21"/>
      <c r="F1030" s="2">
        <f t="shared" si="22"/>
        <v>0</v>
      </c>
      <c r="G1030" s="3" t="str">
        <f>HYPERLINK("http://tmmp-catalog.com.ua/katalog/2/14987/","фото")</f>
        <v>фото</v>
      </c>
      <c r="H1030" s="22"/>
    </row>
    <row r="1031" spans="1:8" ht="15" x14ac:dyDescent="0.2">
      <c r="A1031" s="18"/>
      <c r="B1031" s="19" t="s">
        <v>2107</v>
      </c>
      <c r="C1031" s="20" t="s">
        <v>2108</v>
      </c>
      <c r="D1031" s="2">
        <v>2</v>
      </c>
      <c r="E1031" s="21"/>
      <c r="F1031" s="2">
        <f t="shared" si="22"/>
        <v>0</v>
      </c>
      <c r="G1031" s="3" t="str">
        <f>HYPERLINK("http://tmmp-catalog.com.ua/katalog/37/18454/","фото")</f>
        <v>фото</v>
      </c>
      <c r="H1031" s="22"/>
    </row>
    <row r="1032" spans="1:8" ht="15" x14ac:dyDescent="0.2">
      <c r="A1032" s="18"/>
      <c r="B1032" s="19" t="s">
        <v>2109</v>
      </c>
      <c r="C1032" s="20" t="s">
        <v>2110</v>
      </c>
      <c r="D1032" s="2">
        <v>1.5</v>
      </c>
      <c r="E1032" s="21"/>
      <c r="F1032" s="2">
        <f t="shared" si="22"/>
        <v>0</v>
      </c>
      <c r="G1032" s="3" t="str">
        <f>HYPERLINK("http://tmmp-catalog.com.ua/katalog/37/18455/","фото")</f>
        <v>фото</v>
      </c>
      <c r="H1032" s="22"/>
    </row>
    <row r="1033" spans="1:8" ht="15" x14ac:dyDescent="0.2">
      <c r="A1033" s="18">
        <v>2000000013756</v>
      </c>
      <c r="B1033" s="19" t="s">
        <v>2111</v>
      </c>
      <c r="C1033" s="20" t="s">
        <v>2112</v>
      </c>
      <c r="D1033" s="2">
        <v>1.5</v>
      </c>
      <c r="E1033" s="21"/>
      <c r="F1033" s="2">
        <f t="shared" si="22"/>
        <v>0</v>
      </c>
      <c r="G1033" s="3" t="str">
        <f>HYPERLINK("http://tmmp-catalog.com.ua/katalog/2/14983/","фото")</f>
        <v>фото</v>
      </c>
      <c r="H1033" s="22"/>
    </row>
    <row r="1034" spans="1:8" ht="15" x14ac:dyDescent="0.2">
      <c r="A1034" s="18"/>
      <c r="B1034" s="19" t="s">
        <v>2113</v>
      </c>
      <c r="C1034" s="20" t="s">
        <v>2114</v>
      </c>
      <c r="D1034" s="2">
        <v>1.5</v>
      </c>
      <c r="E1034" s="21"/>
      <c r="F1034" s="2">
        <f t="shared" si="22"/>
        <v>0</v>
      </c>
      <c r="G1034" s="3" t="str">
        <f>HYPERLINK("http://tmmp-catalog.com.ua/katalog/37/18456/","фото")</f>
        <v>фото</v>
      </c>
      <c r="H1034" s="22"/>
    </row>
    <row r="1035" spans="1:8" ht="15" x14ac:dyDescent="0.2">
      <c r="A1035" s="18">
        <v>2000000013763</v>
      </c>
      <c r="B1035" s="19" t="s">
        <v>2115</v>
      </c>
      <c r="C1035" s="20" t="s">
        <v>2116</v>
      </c>
      <c r="D1035" s="2">
        <v>1.5</v>
      </c>
      <c r="E1035" s="21"/>
      <c r="F1035" s="2">
        <f t="shared" si="22"/>
        <v>0</v>
      </c>
      <c r="G1035" s="3" t="str">
        <f>HYPERLINK("http://tmmp-catalog.com.ua/katalog/2/14984/","фото")</f>
        <v>фото</v>
      </c>
      <c r="H1035" s="22"/>
    </row>
    <row r="1036" spans="1:8" ht="15" x14ac:dyDescent="0.2">
      <c r="A1036" s="18"/>
      <c r="B1036" s="19" t="s">
        <v>2117</v>
      </c>
      <c r="C1036" s="20" t="s">
        <v>2118</v>
      </c>
      <c r="D1036" s="2">
        <v>1.5</v>
      </c>
      <c r="E1036" s="21"/>
      <c r="F1036" s="2">
        <f t="shared" ref="F1036:F1099" si="23">cena*zakaz</f>
        <v>0</v>
      </c>
      <c r="G1036" s="3" t="str">
        <f>HYPERLINK("http://tmmp-catalog.com.ua/katalog/2/17237/","фото")</f>
        <v>фото</v>
      </c>
      <c r="H1036" s="22"/>
    </row>
    <row r="1037" spans="1:8" ht="15" x14ac:dyDescent="0.2">
      <c r="A1037" s="18">
        <v>2000000013770</v>
      </c>
      <c r="B1037" s="19" t="s">
        <v>2119</v>
      </c>
      <c r="C1037" s="20" t="s">
        <v>2120</v>
      </c>
      <c r="D1037" s="2">
        <v>3.25</v>
      </c>
      <c r="E1037" s="21"/>
      <c r="F1037" s="2">
        <f t="shared" si="23"/>
        <v>0</v>
      </c>
      <c r="G1037" s="3" t="str">
        <f>HYPERLINK("http://tmmp-catalog.com.ua/katalog/2/14985/","фото")</f>
        <v>фото</v>
      </c>
      <c r="H1037" s="22"/>
    </row>
    <row r="1038" spans="1:8" ht="15" x14ac:dyDescent="0.2">
      <c r="A1038" s="18">
        <v>2000000013817</v>
      </c>
      <c r="B1038" s="19" t="s">
        <v>2121</v>
      </c>
      <c r="C1038" s="20" t="s">
        <v>2122</v>
      </c>
      <c r="D1038" s="2">
        <v>5.2</v>
      </c>
      <c r="E1038" s="21"/>
      <c r="F1038" s="2">
        <f t="shared" si="23"/>
        <v>0</v>
      </c>
      <c r="G1038" s="3" t="str">
        <f>HYPERLINK("http://tmmp-catalog.com.ua/katalog/2/14990/","фото")</f>
        <v>фото</v>
      </c>
      <c r="H1038" s="22"/>
    </row>
    <row r="1039" spans="1:8" ht="15" x14ac:dyDescent="0.2">
      <c r="A1039" s="18">
        <v>2000000001180</v>
      </c>
      <c r="B1039" s="19" t="s">
        <v>2123</v>
      </c>
      <c r="C1039" s="20" t="s">
        <v>2124</v>
      </c>
      <c r="D1039" s="2">
        <v>1.3</v>
      </c>
      <c r="E1039" s="21"/>
      <c r="F1039" s="2">
        <f t="shared" si="23"/>
        <v>0</v>
      </c>
      <c r="G1039" s="3" t="str">
        <f>HYPERLINK("http://tmmp-catalog.com.ua/katalog/1/14738/","фото")</f>
        <v>фото</v>
      </c>
      <c r="H1039" s="22"/>
    </row>
    <row r="1040" spans="1:8" ht="15" x14ac:dyDescent="0.2">
      <c r="A1040" s="18">
        <v>2000000015026</v>
      </c>
      <c r="B1040" s="19" t="s">
        <v>2125</v>
      </c>
      <c r="C1040" s="20" t="s">
        <v>2126</v>
      </c>
      <c r="D1040" s="2">
        <v>1.3</v>
      </c>
      <c r="E1040" s="21"/>
      <c r="F1040" s="2">
        <f t="shared" si="23"/>
        <v>0</v>
      </c>
      <c r="G1040" s="3" t="str">
        <f>HYPERLINK("http://tmmp-catalog.com.ua/katalog/2/16635/","фото")</f>
        <v>фото</v>
      </c>
      <c r="H1040" s="22"/>
    </row>
    <row r="1041" spans="1:8" ht="15" x14ac:dyDescent="0.2">
      <c r="A1041" s="18"/>
      <c r="B1041" s="19" t="s">
        <v>2127</v>
      </c>
      <c r="C1041" s="20" t="s">
        <v>2128</v>
      </c>
      <c r="D1041" s="2">
        <v>4.5</v>
      </c>
      <c r="E1041" s="21"/>
      <c r="F1041" s="2">
        <f t="shared" si="23"/>
        <v>0</v>
      </c>
      <c r="G1041" s="3" t="str">
        <f>HYPERLINK("http://tmmp-catalog.com.ua/katalog/1/17777/","фото")</f>
        <v>фото</v>
      </c>
      <c r="H1041" s="22"/>
    </row>
    <row r="1042" spans="1:8" ht="15" x14ac:dyDescent="0.2">
      <c r="A1042" s="18"/>
      <c r="B1042" s="19" t="s">
        <v>2129</v>
      </c>
      <c r="C1042" s="20" t="s">
        <v>2130</v>
      </c>
      <c r="D1042" s="2">
        <v>2.2000000000000002</v>
      </c>
      <c r="E1042" s="21"/>
      <c r="F1042" s="2">
        <f t="shared" si="23"/>
        <v>0</v>
      </c>
      <c r="G1042" s="3" t="str">
        <f>HYPERLINK("http://tmmp-catalog.com.ua/katalog/2/17272/","фото")</f>
        <v>фото</v>
      </c>
      <c r="H1042" s="22"/>
    </row>
    <row r="1043" spans="1:8" ht="15" x14ac:dyDescent="0.2">
      <c r="A1043" s="18">
        <v>2000000013879</v>
      </c>
      <c r="B1043" s="19" t="s">
        <v>2131</v>
      </c>
      <c r="C1043" s="20" t="s">
        <v>2132</v>
      </c>
      <c r="D1043" s="2">
        <v>0.3</v>
      </c>
      <c r="E1043" s="21"/>
      <c r="F1043" s="2">
        <f t="shared" si="23"/>
        <v>0</v>
      </c>
      <c r="G1043" s="3" t="str">
        <f>HYPERLINK("http://tmmp-catalog.com.ua/katalog/2/14996/","фото")</f>
        <v>фото</v>
      </c>
      <c r="H1043" s="22"/>
    </row>
    <row r="1044" spans="1:8" ht="15" x14ac:dyDescent="0.2">
      <c r="A1044" s="18">
        <v>2000000001197</v>
      </c>
      <c r="B1044" s="19" t="s">
        <v>2133</v>
      </c>
      <c r="C1044" s="20" t="s">
        <v>2134</v>
      </c>
      <c r="D1044" s="2">
        <v>0.05</v>
      </c>
      <c r="E1044" s="21"/>
      <c r="F1044" s="2">
        <f t="shared" si="23"/>
        <v>0</v>
      </c>
      <c r="G1044" s="3" t="str">
        <f>HYPERLINK("http://tmmp-catalog.com.ua/katalog/1/14740/","фото")</f>
        <v>фото</v>
      </c>
      <c r="H1044" s="22"/>
    </row>
    <row r="1045" spans="1:8" ht="15" x14ac:dyDescent="0.2">
      <c r="A1045" s="18">
        <v>2000000001203</v>
      </c>
      <c r="B1045" s="19" t="s">
        <v>2135</v>
      </c>
      <c r="C1045" s="20" t="s">
        <v>2136</v>
      </c>
      <c r="D1045" s="2">
        <v>0.1</v>
      </c>
      <c r="E1045" s="21"/>
      <c r="F1045" s="2">
        <f t="shared" si="23"/>
        <v>0</v>
      </c>
      <c r="G1045" s="3" t="str">
        <f>HYPERLINK("http://tmmp-catalog.com.ua/katalog/1/14741/","фото")</f>
        <v>фото</v>
      </c>
      <c r="H1045" s="22"/>
    </row>
    <row r="1046" spans="1:8" ht="15" x14ac:dyDescent="0.2">
      <c r="A1046" s="18">
        <v>2000000013022</v>
      </c>
      <c r="B1046" s="19" t="s">
        <v>2137</v>
      </c>
      <c r="C1046" s="20" t="s">
        <v>2138</v>
      </c>
      <c r="D1046" s="2">
        <v>0.85</v>
      </c>
      <c r="E1046" s="21"/>
      <c r="F1046" s="2">
        <f t="shared" si="23"/>
        <v>0</v>
      </c>
      <c r="G1046" s="3" t="str">
        <f>HYPERLINK("http://tmmp-catalog.com.ua/katalog/2/14909/","фото")</f>
        <v>фото</v>
      </c>
      <c r="H1046" s="22"/>
    </row>
    <row r="1047" spans="1:8" ht="15" x14ac:dyDescent="0.2">
      <c r="A1047" s="18">
        <v>2000000013039</v>
      </c>
      <c r="B1047" s="19" t="s">
        <v>2139</v>
      </c>
      <c r="C1047" s="20" t="s">
        <v>2140</v>
      </c>
      <c r="D1047" s="2">
        <v>1.4</v>
      </c>
      <c r="E1047" s="21"/>
      <c r="F1047" s="2">
        <f t="shared" si="23"/>
        <v>0</v>
      </c>
      <c r="G1047" s="3" t="str">
        <f>HYPERLINK("http://tmmp-catalog.com.ua/katalog/2/14910/","фото")</f>
        <v>фото</v>
      </c>
      <c r="H1047" s="22"/>
    </row>
    <row r="1048" spans="1:8" ht="15" x14ac:dyDescent="0.2">
      <c r="A1048" s="18">
        <v>2000000000855</v>
      </c>
      <c r="B1048" s="19" t="s">
        <v>2141</v>
      </c>
      <c r="C1048" s="20" t="s">
        <v>2142</v>
      </c>
      <c r="D1048" s="2">
        <v>0.85</v>
      </c>
      <c r="E1048" s="21"/>
      <c r="F1048" s="2">
        <f t="shared" si="23"/>
        <v>0</v>
      </c>
      <c r="G1048" s="3" t="str">
        <f>HYPERLINK("http://tmmp-catalog.com.ua/katalog/1/14704/","фото")</f>
        <v>фото</v>
      </c>
      <c r="H1048" s="22"/>
    </row>
    <row r="1049" spans="1:8" ht="15" x14ac:dyDescent="0.2">
      <c r="A1049" s="18">
        <v>2000000000862</v>
      </c>
      <c r="B1049" s="19" t="s">
        <v>2143</v>
      </c>
      <c r="C1049" s="20" t="s">
        <v>2144</v>
      </c>
      <c r="D1049" s="2">
        <v>1.1000000000000001</v>
      </c>
      <c r="E1049" s="21"/>
      <c r="F1049" s="2">
        <f t="shared" si="23"/>
        <v>0</v>
      </c>
      <c r="G1049" s="3" t="str">
        <f>HYPERLINK("http://tmmp-catalog.com.ua/katalog/1/14705/","фото")</f>
        <v>фото</v>
      </c>
      <c r="H1049" s="22"/>
    </row>
    <row r="1050" spans="1:8" ht="15" x14ac:dyDescent="0.2">
      <c r="A1050" s="18">
        <v>2000000013046</v>
      </c>
      <c r="B1050" s="19" t="s">
        <v>2145</v>
      </c>
      <c r="C1050" s="20" t="s">
        <v>2146</v>
      </c>
      <c r="D1050" s="2">
        <v>1.2</v>
      </c>
      <c r="E1050" s="21"/>
      <c r="F1050" s="2">
        <f t="shared" si="23"/>
        <v>0</v>
      </c>
      <c r="G1050" s="3" t="str">
        <f>HYPERLINK("http://tmmp-catalog.com.ua/katalog/2/14911/","фото")</f>
        <v>фото</v>
      </c>
      <c r="H1050" s="22"/>
    </row>
    <row r="1051" spans="1:8" ht="15" x14ac:dyDescent="0.2">
      <c r="A1051" s="18">
        <v>2000000013053</v>
      </c>
      <c r="B1051" s="19" t="s">
        <v>2147</v>
      </c>
      <c r="C1051" s="20" t="s">
        <v>2148</v>
      </c>
      <c r="D1051" s="2">
        <v>1.6</v>
      </c>
      <c r="E1051" s="21"/>
      <c r="F1051" s="2">
        <f t="shared" si="23"/>
        <v>0</v>
      </c>
      <c r="G1051" s="3" t="str">
        <f>HYPERLINK("http://tmmp-catalog.com.ua/katalog/2/14912/","фото")</f>
        <v>фото</v>
      </c>
      <c r="H1051" s="22"/>
    </row>
    <row r="1052" spans="1:8" ht="15" x14ac:dyDescent="0.2">
      <c r="A1052" s="18">
        <v>2000000013077</v>
      </c>
      <c r="B1052" s="19" t="s">
        <v>2149</v>
      </c>
      <c r="C1052" s="20" t="s">
        <v>2150</v>
      </c>
      <c r="D1052" s="2">
        <v>1.4</v>
      </c>
      <c r="E1052" s="21"/>
      <c r="F1052" s="2">
        <f t="shared" si="23"/>
        <v>0</v>
      </c>
      <c r="G1052" s="3" t="str">
        <f>HYPERLINK("http://tmmp-catalog.com.ua/katalog/2/14914/","фото")</f>
        <v>фото</v>
      </c>
      <c r="H1052" s="22"/>
    </row>
    <row r="1053" spans="1:8" ht="15" x14ac:dyDescent="0.2">
      <c r="A1053" s="18">
        <v>2000000013084</v>
      </c>
      <c r="B1053" s="19" t="s">
        <v>2151</v>
      </c>
      <c r="C1053" s="20" t="s">
        <v>2152</v>
      </c>
      <c r="D1053" s="2">
        <v>0.85</v>
      </c>
      <c r="E1053" s="21"/>
      <c r="F1053" s="2">
        <f t="shared" si="23"/>
        <v>0</v>
      </c>
      <c r="G1053" s="3" t="str">
        <f>HYPERLINK("http://tmmp-catalog.com.ua/katalog/2/14915/","фото")</f>
        <v>фото</v>
      </c>
      <c r="H1053" s="22"/>
    </row>
    <row r="1054" spans="1:8" ht="15" x14ac:dyDescent="0.2">
      <c r="A1054" s="18">
        <v>2000000013091</v>
      </c>
      <c r="B1054" s="19" t="s">
        <v>2153</v>
      </c>
      <c r="C1054" s="20" t="s">
        <v>2154</v>
      </c>
      <c r="D1054" s="2">
        <v>0.5</v>
      </c>
      <c r="E1054" s="21"/>
      <c r="F1054" s="2">
        <f t="shared" si="23"/>
        <v>0</v>
      </c>
      <c r="G1054" s="3" t="str">
        <f>HYPERLINK("http://tmmp-catalog.com.ua/katalog/2/14916/","фото")</f>
        <v>фото</v>
      </c>
      <c r="H1054" s="22"/>
    </row>
    <row r="1055" spans="1:8" ht="15" x14ac:dyDescent="0.2">
      <c r="A1055" s="18">
        <v>2000000001883</v>
      </c>
      <c r="B1055" s="19" t="s">
        <v>2155</v>
      </c>
      <c r="C1055" s="20" t="s">
        <v>2156</v>
      </c>
      <c r="D1055" s="2">
        <v>0.5</v>
      </c>
      <c r="E1055" s="21"/>
      <c r="F1055" s="2">
        <f t="shared" si="23"/>
        <v>0</v>
      </c>
      <c r="G1055" s="3" t="str">
        <f>HYPERLINK("http://tmmp-catalog.com.ua/katalog/1/16813/","фото")</f>
        <v>фото</v>
      </c>
      <c r="H1055" s="22"/>
    </row>
    <row r="1056" spans="1:8" ht="15" x14ac:dyDescent="0.2">
      <c r="A1056" s="18">
        <v>2000000000879</v>
      </c>
      <c r="B1056" s="19" t="s">
        <v>2157</v>
      </c>
      <c r="C1056" s="20" t="s">
        <v>2158</v>
      </c>
      <c r="D1056" s="2">
        <v>0.6</v>
      </c>
      <c r="E1056" s="21"/>
      <c r="F1056" s="2">
        <f t="shared" si="23"/>
        <v>0</v>
      </c>
      <c r="G1056" s="3" t="str">
        <f>HYPERLINK("http://tmmp-catalog.com.ua/katalog/1/14706/","фото")</f>
        <v>фото</v>
      </c>
      <c r="H1056" s="22"/>
    </row>
    <row r="1057" spans="1:8" ht="15" x14ac:dyDescent="0.2">
      <c r="A1057" s="18">
        <v>2000000000909</v>
      </c>
      <c r="B1057" s="19" t="s">
        <v>2159</v>
      </c>
      <c r="C1057" s="20" t="s">
        <v>2160</v>
      </c>
      <c r="D1057" s="2">
        <v>0.65</v>
      </c>
      <c r="E1057" s="21"/>
      <c r="F1057" s="2">
        <f t="shared" si="23"/>
        <v>0</v>
      </c>
      <c r="G1057" s="3" t="str">
        <f>HYPERLINK("http://tmmp-catalog.com.ua/katalog/1/14709/","фото")</f>
        <v>фото</v>
      </c>
      <c r="H1057" s="22"/>
    </row>
    <row r="1058" spans="1:8" ht="15" x14ac:dyDescent="0.2">
      <c r="A1058" s="18">
        <v>2000000000886</v>
      </c>
      <c r="B1058" s="19" t="s">
        <v>2161</v>
      </c>
      <c r="C1058" s="20" t="s">
        <v>2162</v>
      </c>
      <c r="D1058" s="2">
        <v>0.5</v>
      </c>
      <c r="E1058" s="21"/>
      <c r="F1058" s="2">
        <f t="shared" si="23"/>
        <v>0</v>
      </c>
      <c r="G1058" s="3" t="str">
        <f>HYPERLINK("http://tmmp-catalog.com.ua/katalog/1/14707/","фото")</f>
        <v>фото</v>
      </c>
      <c r="H1058" s="22"/>
    </row>
    <row r="1059" spans="1:8" ht="15" x14ac:dyDescent="0.2">
      <c r="A1059" s="18">
        <v>2000000013107</v>
      </c>
      <c r="B1059" s="19" t="s">
        <v>2163</v>
      </c>
      <c r="C1059" s="20" t="s">
        <v>2164</v>
      </c>
      <c r="D1059" s="2">
        <v>0.65</v>
      </c>
      <c r="E1059" s="21"/>
      <c r="F1059" s="2">
        <f t="shared" si="23"/>
        <v>0</v>
      </c>
      <c r="G1059" s="3" t="str">
        <f>HYPERLINK("http://tmmp-catalog.com.ua/katalog/2/14917/","фото")</f>
        <v>фото</v>
      </c>
      <c r="H1059" s="22"/>
    </row>
    <row r="1060" spans="1:8" ht="15" x14ac:dyDescent="0.2">
      <c r="A1060" s="18">
        <v>2000000015163</v>
      </c>
      <c r="B1060" s="19" t="s">
        <v>2165</v>
      </c>
      <c r="C1060" s="20" t="s">
        <v>2166</v>
      </c>
      <c r="D1060" s="2">
        <v>0.5</v>
      </c>
      <c r="E1060" s="21"/>
      <c r="F1060" s="2">
        <f t="shared" si="23"/>
        <v>0</v>
      </c>
      <c r="G1060" s="3" t="str">
        <f>HYPERLINK("http://tmmp-catalog.com.ua/katalog/2/16782/","фото")</f>
        <v>фото</v>
      </c>
      <c r="H1060" s="22"/>
    </row>
    <row r="1061" spans="1:8" ht="15" x14ac:dyDescent="0.2">
      <c r="A1061" s="18"/>
      <c r="B1061" s="19" t="s">
        <v>2167</v>
      </c>
      <c r="C1061" s="20" t="s">
        <v>2168</v>
      </c>
      <c r="D1061" s="2">
        <v>0.65</v>
      </c>
      <c r="E1061" s="21"/>
      <c r="F1061" s="2">
        <f t="shared" si="23"/>
        <v>0</v>
      </c>
      <c r="G1061" s="3" t="str">
        <f>HYPERLINK("http://tmmp-catalog.com.ua/katalog/37/18476/","фото")</f>
        <v>фото</v>
      </c>
      <c r="H1061" s="22"/>
    </row>
    <row r="1062" spans="1:8" ht="15" x14ac:dyDescent="0.2">
      <c r="A1062" s="18">
        <v>2000000013121</v>
      </c>
      <c r="B1062" s="19" t="s">
        <v>2169</v>
      </c>
      <c r="C1062" s="20" t="s">
        <v>2170</v>
      </c>
      <c r="D1062" s="2">
        <v>0.4</v>
      </c>
      <c r="E1062" s="21"/>
      <c r="F1062" s="2">
        <f t="shared" si="23"/>
        <v>0</v>
      </c>
      <c r="G1062" s="3" t="str">
        <f>HYPERLINK("http://tmmp-catalog.com.ua/katalog/2/14919/","фото")</f>
        <v>фото</v>
      </c>
      <c r="H1062" s="22"/>
    </row>
    <row r="1063" spans="1:8" ht="15" x14ac:dyDescent="0.2">
      <c r="A1063" s="18">
        <v>2000000013114</v>
      </c>
      <c r="B1063" s="19" t="s">
        <v>2171</v>
      </c>
      <c r="C1063" s="20" t="s">
        <v>2172</v>
      </c>
      <c r="D1063" s="2">
        <v>0.6</v>
      </c>
      <c r="E1063" s="21"/>
      <c r="F1063" s="2">
        <f t="shared" si="23"/>
        <v>0</v>
      </c>
      <c r="G1063" s="3" t="str">
        <f>HYPERLINK("http://tmmp-catalog.com.ua/katalog/2/14918/","фото")</f>
        <v>фото</v>
      </c>
      <c r="H1063" s="22"/>
    </row>
    <row r="1064" spans="1:8" ht="15" x14ac:dyDescent="0.2">
      <c r="A1064" s="18">
        <v>2000000001210</v>
      </c>
      <c r="B1064" s="19" t="s">
        <v>2173</v>
      </c>
      <c r="C1064" s="20" t="s">
        <v>2174</v>
      </c>
      <c r="D1064" s="2">
        <v>0.4</v>
      </c>
      <c r="E1064" s="21"/>
      <c r="F1064" s="2">
        <f t="shared" si="23"/>
        <v>0</v>
      </c>
      <c r="G1064" s="3" t="str">
        <f>HYPERLINK("http://tmmp-catalog.com.ua/katalog/1/14742/","фото")</f>
        <v>фото</v>
      </c>
      <c r="H1064" s="22"/>
    </row>
    <row r="1065" spans="1:8" ht="15" x14ac:dyDescent="0.2">
      <c r="A1065" s="18"/>
      <c r="B1065" s="19" t="s">
        <v>2175</v>
      </c>
      <c r="C1065" s="20" t="s">
        <v>2176</v>
      </c>
      <c r="D1065" s="2">
        <v>0.6</v>
      </c>
      <c r="E1065" s="21"/>
      <c r="F1065" s="2">
        <f t="shared" si="23"/>
        <v>0</v>
      </c>
      <c r="G1065" s="3" t="str">
        <f>HYPERLINK("http://tmmp-catalog.com.ua/katalog/2/17696/","фото")</f>
        <v>фото</v>
      </c>
      <c r="H1065" s="22"/>
    </row>
    <row r="1066" spans="1:8" ht="15" x14ac:dyDescent="0.2">
      <c r="A1066" s="18">
        <v>2000000001227</v>
      </c>
      <c r="B1066" s="19" t="s">
        <v>2177</v>
      </c>
      <c r="C1066" s="20" t="s">
        <v>2178</v>
      </c>
      <c r="D1066" s="2">
        <v>0.4</v>
      </c>
      <c r="E1066" s="21"/>
      <c r="F1066" s="2">
        <f t="shared" si="23"/>
        <v>0</v>
      </c>
      <c r="G1066" s="3" t="str">
        <f>HYPERLINK("http://tmmp-catalog.com.ua/katalog/1/14743/","фото")</f>
        <v>фото</v>
      </c>
      <c r="H1066" s="22"/>
    </row>
    <row r="1067" spans="1:8" ht="15" x14ac:dyDescent="0.2">
      <c r="A1067" s="18">
        <v>2000000001234</v>
      </c>
      <c r="B1067" s="19" t="s">
        <v>2179</v>
      </c>
      <c r="C1067" s="20" t="s">
        <v>2180</v>
      </c>
      <c r="D1067" s="2">
        <v>3</v>
      </c>
      <c r="E1067" s="21"/>
      <c r="F1067" s="2">
        <f t="shared" si="23"/>
        <v>0</v>
      </c>
      <c r="G1067" s="3" t="str">
        <f>HYPERLINK("http://tmmp-catalog.com.ua/katalog/1/14744/","фото")</f>
        <v>фото</v>
      </c>
      <c r="H1067" s="22"/>
    </row>
    <row r="1068" spans="1:8" ht="15" x14ac:dyDescent="0.2">
      <c r="A1068" s="18">
        <v>2000000013893</v>
      </c>
      <c r="B1068" s="19" t="s">
        <v>2181</v>
      </c>
      <c r="C1068" s="20" t="s">
        <v>2182</v>
      </c>
      <c r="D1068" s="2">
        <v>3</v>
      </c>
      <c r="E1068" s="21"/>
      <c r="F1068" s="2">
        <f t="shared" si="23"/>
        <v>0</v>
      </c>
      <c r="G1068" s="3" t="str">
        <f>HYPERLINK("http://tmmp-catalog.com.ua/katalog/2/14998/","фото")</f>
        <v>фото</v>
      </c>
      <c r="H1068" s="22"/>
    </row>
    <row r="1069" spans="1:8" ht="15" x14ac:dyDescent="0.2">
      <c r="A1069" s="18">
        <v>2000000013909</v>
      </c>
      <c r="B1069" s="19" t="s">
        <v>2183</v>
      </c>
      <c r="C1069" s="20" t="s">
        <v>2184</v>
      </c>
      <c r="D1069" s="2">
        <v>10.5</v>
      </c>
      <c r="E1069" s="21"/>
      <c r="F1069" s="2">
        <f t="shared" si="23"/>
        <v>0</v>
      </c>
      <c r="G1069" s="3" t="str">
        <f>HYPERLINK("http://tmmp-catalog.com.ua/katalog/2/14999/","фото")</f>
        <v>фото</v>
      </c>
      <c r="H1069" s="22"/>
    </row>
    <row r="1070" spans="1:8" ht="15" x14ac:dyDescent="0.2">
      <c r="A1070" s="18">
        <v>2000000013916</v>
      </c>
      <c r="B1070" s="19" t="s">
        <v>2185</v>
      </c>
      <c r="C1070" s="20" t="s">
        <v>2186</v>
      </c>
      <c r="D1070" s="2">
        <v>8</v>
      </c>
      <c r="E1070" s="21"/>
      <c r="F1070" s="2">
        <f t="shared" si="23"/>
        <v>0</v>
      </c>
      <c r="G1070" s="3" t="str">
        <f>HYPERLINK("http://tmmp-catalog.com.ua/katalog/2/15000/","фото")</f>
        <v>фото</v>
      </c>
      <c r="H1070" s="22"/>
    </row>
    <row r="1071" spans="1:8" ht="15" x14ac:dyDescent="0.2">
      <c r="A1071" s="18">
        <v>2000000001241</v>
      </c>
      <c r="B1071" s="19" t="s">
        <v>2187</v>
      </c>
      <c r="C1071" s="20" t="s">
        <v>2188</v>
      </c>
      <c r="D1071" s="2">
        <v>1</v>
      </c>
      <c r="E1071" s="21"/>
      <c r="F1071" s="2">
        <f t="shared" si="23"/>
        <v>0</v>
      </c>
      <c r="G1071" s="3" t="str">
        <f>HYPERLINK("http://tmmp-catalog.com.ua/katalog/1/14745/","фото")</f>
        <v>фото</v>
      </c>
      <c r="H1071" s="22"/>
    </row>
    <row r="1072" spans="1:8" ht="15" x14ac:dyDescent="0.2">
      <c r="A1072" s="18">
        <v>2000000002026</v>
      </c>
      <c r="B1072" s="19" t="s">
        <v>2189</v>
      </c>
      <c r="C1072" s="20" t="s">
        <v>2190</v>
      </c>
      <c r="D1072" s="2">
        <v>0.5</v>
      </c>
      <c r="E1072" s="21"/>
      <c r="F1072" s="2">
        <f t="shared" si="23"/>
        <v>0</v>
      </c>
      <c r="G1072" s="3" t="str">
        <f>HYPERLINK("http://tmmp-catalog.com.ua/katalog/1/16828/","фото")</f>
        <v>фото</v>
      </c>
      <c r="H1072" s="22"/>
    </row>
    <row r="1073" spans="1:8" ht="15" x14ac:dyDescent="0.2">
      <c r="A1073" s="18">
        <v>2000000013954</v>
      </c>
      <c r="B1073" s="19" t="s">
        <v>2191</v>
      </c>
      <c r="C1073" s="20" t="s">
        <v>2192</v>
      </c>
      <c r="D1073" s="2">
        <v>0.8</v>
      </c>
      <c r="E1073" s="21"/>
      <c r="F1073" s="2">
        <f t="shared" si="23"/>
        <v>0</v>
      </c>
      <c r="G1073" s="3" t="str">
        <f>HYPERLINK("http://tmmp-catalog.com.ua/katalog/2/15004/","фото")</f>
        <v>фото</v>
      </c>
      <c r="H1073" s="22"/>
    </row>
    <row r="1074" spans="1:8" ht="15" x14ac:dyDescent="0.2">
      <c r="A1074" s="18">
        <v>2000000013947</v>
      </c>
      <c r="B1074" s="19" t="s">
        <v>2193</v>
      </c>
      <c r="C1074" s="20" t="s">
        <v>2194</v>
      </c>
      <c r="D1074" s="2">
        <v>0.8</v>
      </c>
      <c r="E1074" s="21"/>
      <c r="F1074" s="2">
        <f t="shared" si="23"/>
        <v>0</v>
      </c>
      <c r="G1074" s="3" t="str">
        <f>HYPERLINK("http://tmmp-catalog.com.ua/katalog/2/15003/","фото")</f>
        <v>фото</v>
      </c>
      <c r="H1074" s="22"/>
    </row>
    <row r="1075" spans="1:8" ht="15" x14ac:dyDescent="0.2">
      <c r="A1075" s="18">
        <v>2000000001265</v>
      </c>
      <c r="B1075" s="19" t="s">
        <v>2195</v>
      </c>
      <c r="C1075" s="20" t="s">
        <v>2196</v>
      </c>
      <c r="D1075" s="2">
        <v>2.7</v>
      </c>
      <c r="E1075" s="21"/>
      <c r="F1075" s="2">
        <f t="shared" si="23"/>
        <v>0</v>
      </c>
      <c r="G1075" s="3" t="str">
        <f>HYPERLINK("http://tmmp-catalog.com.ua/katalog/1/14747/","фото")</f>
        <v>фото</v>
      </c>
      <c r="H1075" s="22"/>
    </row>
    <row r="1076" spans="1:8" ht="15" x14ac:dyDescent="0.2">
      <c r="A1076" s="18">
        <v>2000000001272</v>
      </c>
      <c r="B1076" s="19" t="s">
        <v>2197</v>
      </c>
      <c r="C1076" s="20" t="s">
        <v>2198</v>
      </c>
      <c r="D1076" s="2">
        <v>3</v>
      </c>
      <c r="E1076" s="21"/>
      <c r="F1076" s="2">
        <f t="shared" si="23"/>
        <v>0</v>
      </c>
      <c r="G1076" s="3" t="str">
        <f>HYPERLINK("http://tmmp-catalog.com.ua/katalog/1/14748/","фото")</f>
        <v>фото</v>
      </c>
      <c r="H1076" s="22"/>
    </row>
    <row r="1077" spans="1:8" ht="15" x14ac:dyDescent="0.2">
      <c r="A1077" s="18">
        <v>2000000001296</v>
      </c>
      <c r="B1077" s="19" t="s">
        <v>2199</v>
      </c>
      <c r="C1077" s="20" t="s">
        <v>2200</v>
      </c>
      <c r="D1077" s="2">
        <v>3.2</v>
      </c>
      <c r="E1077" s="21"/>
      <c r="F1077" s="2">
        <f t="shared" si="23"/>
        <v>0</v>
      </c>
      <c r="G1077" s="3" t="str">
        <f>HYPERLINK("http://tmmp-catalog.com.ua/katalog/1/14750/","фото")</f>
        <v>фото</v>
      </c>
      <c r="H1077" s="22"/>
    </row>
    <row r="1078" spans="1:8" ht="15" x14ac:dyDescent="0.2">
      <c r="A1078" s="18">
        <v>2000000002019</v>
      </c>
      <c r="B1078" s="19" t="s">
        <v>2201</v>
      </c>
      <c r="C1078" s="20" t="s">
        <v>2202</v>
      </c>
      <c r="D1078" s="2">
        <v>4.45</v>
      </c>
      <c r="E1078" s="21"/>
      <c r="F1078" s="2">
        <f t="shared" si="23"/>
        <v>0</v>
      </c>
      <c r="G1078" s="3" t="str">
        <f>HYPERLINK("http://tmmp-catalog.com.ua/katalog/1/16827/","фото")</f>
        <v>фото</v>
      </c>
      <c r="H1078" s="22"/>
    </row>
    <row r="1079" spans="1:8" ht="15" x14ac:dyDescent="0.2">
      <c r="A1079" s="18">
        <v>2000000013961</v>
      </c>
      <c r="B1079" s="19" t="s">
        <v>2203</v>
      </c>
      <c r="C1079" s="20" t="s">
        <v>2204</v>
      </c>
      <c r="D1079" s="2">
        <v>1.6</v>
      </c>
      <c r="E1079" s="21"/>
      <c r="F1079" s="2">
        <f t="shared" si="23"/>
        <v>0</v>
      </c>
      <c r="G1079" s="3" t="str">
        <f>HYPERLINK("http://tmmp-catalog.com.ua/katalog/2/15005/","фото")</f>
        <v>фото</v>
      </c>
      <c r="H1079" s="22"/>
    </row>
    <row r="1080" spans="1:8" ht="15" x14ac:dyDescent="0.2">
      <c r="A1080" s="18"/>
      <c r="B1080" s="19" t="s">
        <v>2205</v>
      </c>
      <c r="C1080" s="20" t="s">
        <v>2206</v>
      </c>
      <c r="D1080" s="2">
        <v>2</v>
      </c>
      <c r="E1080" s="21"/>
      <c r="F1080" s="2">
        <f t="shared" si="23"/>
        <v>0</v>
      </c>
      <c r="G1080" s="3" t="str">
        <f>HYPERLINK("http://tmmp-catalog.com.ua/katalog/37/18484/","фото")</f>
        <v>фото</v>
      </c>
      <c r="H1080" s="22"/>
    </row>
    <row r="1081" spans="1:8" ht="15" x14ac:dyDescent="0.2">
      <c r="A1081" s="18"/>
      <c r="B1081" s="19" t="s">
        <v>2207</v>
      </c>
      <c r="C1081" s="20" t="s">
        <v>2208</v>
      </c>
      <c r="D1081" s="2">
        <v>6.5</v>
      </c>
      <c r="E1081" s="21"/>
      <c r="F1081" s="2">
        <f t="shared" si="23"/>
        <v>0</v>
      </c>
      <c r="G1081" s="3" t="str">
        <f>HYPERLINK("http://tmmp-catalog.com.ua/katalog/2/17711/","фото")</f>
        <v>фото</v>
      </c>
      <c r="H1081" s="22"/>
    </row>
    <row r="1082" spans="1:8" ht="15" x14ac:dyDescent="0.2">
      <c r="A1082" s="18">
        <v>2000000013978</v>
      </c>
      <c r="B1082" s="19" t="s">
        <v>2209</v>
      </c>
      <c r="C1082" s="20" t="s">
        <v>2210</v>
      </c>
      <c r="D1082" s="2">
        <v>3.6</v>
      </c>
      <c r="E1082" s="21"/>
      <c r="F1082" s="2">
        <f t="shared" si="23"/>
        <v>0</v>
      </c>
      <c r="G1082" s="3" t="str">
        <f>HYPERLINK("http://tmmp-catalog.com.ua/katalog/2/15006/","фото")</f>
        <v>фото</v>
      </c>
      <c r="H1082" s="22"/>
    </row>
    <row r="1083" spans="1:8" ht="15" x14ac:dyDescent="0.2">
      <c r="A1083" s="18">
        <v>2000000013985</v>
      </c>
      <c r="B1083" s="19" t="s">
        <v>2211</v>
      </c>
      <c r="C1083" s="20" t="s">
        <v>2212</v>
      </c>
      <c r="D1083" s="2">
        <v>1.5</v>
      </c>
      <c r="E1083" s="21"/>
      <c r="F1083" s="2">
        <f t="shared" si="23"/>
        <v>0</v>
      </c>
      <c r="G1083" s="3" t="str">
        <f>HYPERLINK("http://tmmp-catalog.com.ua/katalog/2/15007/","фото")</f>
        <v>фото</v>
      </c>
      <c r="H1083" s="22"/>
    </row>
    <row r="1084" spans="1:8" ht="15" x14ac:dyDescent="0.2">
      <c r="A1084" s="18"/>
      <c r="B1084" s="19" t="s">
        <v>2213</v>
      </c>
      <c r="C1084" s="20" t="s">
        <v>2214</v>
      </c>
      <c r="D1084" s="2">
        <v>1.9</v>
      </c>
      <c r="E1084" s="21"/>
      <c r="F1084" s="2">
        <f t="shared" si="23"/>
        <v>0</v>
      </c>
      <c r="G1084" s="3" t="str">
        <f>HYPERLINK("http://tmmp-catalog.com.ua/katalog/37/18486/","фото")</f>
        <v>фото</v>
      </c>
      <c r="H1084" s="22"/>
    </row>
    <row r="1085" spans="1:8" ht="15" x14ac:dyDescent="0.2">
      <c r="A1085" s="18">
        <v>2000000015149</v>
      </c>
      <c r="B1085" s="19" t="s">
        <v>2215</v>
      </c>
      <c r="C1085" s="20" t="s">
        <v>2216</v>
      </c>
      <c r="D1085" s="2">
        <v>1.5</v>
      </c>
      <c r="E1085" s="21"/>
      <c r="F1085" s="2">
        <f t="shared" si="23"/>
        <v>0</v>
      </c>
      <c r="G1085" s="3" t="str">
        <f>HYPERLINK("http://tmmp-catalog.com.ua/katalog/2/16780/","фото")</f>
        <v>фото</v>
      </c>
      <c r="H1085" s="22"/>
    </row>
    <row r="1086" spans="1:8" ht="15" x14ac:dyDescent="0.2">
      <c r="A1086" s="18">
        <v>2000000001326</v>
      </c>
      <c r="B1086" s="19" t="s">
        <v>2217</v>
      </c>
      <c r="C1086" s="20" t="s">
        <v>2218</v>
      </c>
      <c r="D1086" s="2">
        <v>2</v>
      </c>
      <c r="E1086" s="21"/>
      <c r="F1086" s="2">
        <f t="shared" si="23"/>
        <v>0</v>
      </c>
      <c r="G1086" s="3" t="str">
        <f>HYPERLINK("http://tmmp-catalog.com.ua/katalog/1/14753/","фото")</f>
        <v>фото</v>
      </c>
      <c r="H1086" s="22"/>
    </row>
    <row r="1087" spans="1:8" ht="15" x14ac:dyDescent="0.2">
      <c r="A1087" s="18"/>
      <c r="B1087" s="19" t="s">
        <v>2219</v>
      </c>
      <c r="C1087" s="20" t="s">
        <v>2220</v>
      </c>
      <c r="D1087" s="2">
        <v>2</v>
      </c>
      <c r="E1087" s="21"/>
      <c r="F1087" s="2">
        <f t="shared" si="23"/>
        <v>0</v>
      </c>
      <c r="G1087" s="3" t="str">
        <f>HYPERLINK("http://tmmp-catalog.com.ua/katalog/37/18488/","фото")</f>
        <v>фото</v>
      </c>
      <c r="H1087" s="22"/>
    </row>
    <row r="1088" spans="1:8" ht="15" x14ac:dyDescent="0.2">
      <c r="A1088" s="18"/>
      <c r="B1088" s="19" t="s">
        <v>2221</v>
      </c>
      <c r="C1088" s="20" t="s">
        <v>2222</v>
      </c>
      <c r="D1088" s="2">
        <v>2</v>
      </c>
      <c r="E1088" s="21"/>
      <c r="F1088" s="2">
        <f t="shared" si="23"/>
        <v>0</v>
      </c>
      <c r="G1088" s="3" t="str">
        <f>HYPERLINK("http://tmmp-catalog.com.ua/katalog/1/18149/","фото")</f>
        <v>фото</v>
      </c>
      <c r="H1088" s="22"/>
    </row>
    <row r="1089" spans="1:8" ht="15" x14ac:dyDescent="0.2">
      <c r="A1089" s="18">
        <v>2000000001333</v>
      </c>
      <c r="B1089" s="19" t="s">
        <v>2223</v>
      </c>
      <c r="C1089" s="20" t="s">
        <v>2224</v>
      </c>
      <c r="D1089" s="2">
        <v>1</v>
      </c>
      <c r="E1089" s="21"/>
      <c r="F1089" s="2">
        <f t="shared" si="23"/>
        <v>0</v>
      </c>
      <c r="G1089" s="3" t="str">
        <f>HYPERLINK("http://tmmp-catalog.com.ua/katalog/1/14754/","фото")</f>
        <v>фото</v>
      </c>
      <c r="H1089" s="22"/>
    </row>
    <row r="1090" spans="1:8" ht="15" x14ac:dyDescent="0.2">
      <c r="A1090" s="18">
        <v>2000000001340</v>
      </c>
      <c r="B1090" s="19" t="s">
        <v>2225</v>
      </c>
      <c r="C1090" s="20" t="s">
        <v>2226</v>
      </c>
      <c r="D1090" s="2">
        <v>2</v>
      </c>
      <c r="E1090" s="21"/>
      <c r="F1090" s="2">
        <f t="shared" si="23"/>
        <v>0</v>
      </c>
      <c r="G1090" s="3" t="str">
        <f>HYPERLINK("http://tmmp-catalog.com.ua/katalog/1/14755/","фото")</f>
        <v>фото</v>
      </c>
      <c r="H1090" s="22"/>
    </row>
    <row r="1091" spans="1:8" ht="15" x14ac:dyDescent="0.2">
      <c r="A1091" s="18"/>
      <c r="B1091" s="19" t="s">
        <v>2227</v>
      </c>
      <c r="C1091" s="20" t="s">
        <v>2228</v>
      </c>
      <c r="D1091" s="2">
        <v>0.9</v>
      </c>
      <c r="E1091" s="21"/>
      <c r="F1091" s="2">
        <f t="shared" si="23"/>
        <v>0</v>
      </c>
      <c r="G1091" s="3" t="str">
        <f>HYPERLINK("http://tmmp-catalog.com.ua/katalog/37/18490/","фото")</f>
        <v>фото</v>
      </c>
      <c r="H1091" s="22"/>
    </row>
    <row r="1092" spans="1:8" ht="15" x14ac:dyDescent="0.2">
      <c r="A1092" s="18">
        <v>2000000001357</v>
      </c>
      <c r="B1092" s="19" t="s">
        <v>2229</v>
      </c>
      <c r="C1092" s="20" t="s">
        <v>2230</v>
      </c>
      <c r="D1092" s="2">
        <v>1.1499999999999999</v>
      </c>
      <c r="E1092" s="21"/>
      <c r="F1092" s="2">
        <f t="shared" si="23"/>
        <v>0</v>
      </c>
      <c r="G1092" s="3" t="str">
        <f>HYPERLINK("http://tmmp-catalog.com.ua/katalog/1/14756/","фото")</f>
        <v>фото</v>
      </c>
      <c r="H1092" s="22"/>
    </row>
    <row r="1093" spans="1:8" ht="15" x14ac:dyDescent="0.2">
      <c r="A1093" s="18">
        <v>2000000014029</v>
      </c>
      <c r="B1093" s="19" t="s">
        <v>2231</v>
      </c>
      <c r="C1093" s="20" t="s">
        <v>2232</v>
      </c>
      <c r="D1093" s="2">
        <v>1.5</v>
      </c>
      <c r="E1093" s="21"/>
      <c r="F1093" s="2">
        <f t="shared" si="23"/>
        <v>0</v>
      </c>
      <c r="G1093" s="3" t="str">
        <f>HYPERLINK("http://tmmp-catalog.com.ua/katalog/2/15011/","фото")</f>
        <v>фото</v>
      </c>
      <c r="H1093" s="22"/>
    </row>
    <row r="1094" spans="1:8" ht="15" x14ac:dyDescent="0.2">
      <c r="A1094" s="18"/>
      <c r="B1094" s="19" t="s">
        <v>2233</v>
      </c>
      <c r="C1094" s="20" t="s">
        <v>2234</v>
      </c>
      <c r="D1094" s="2">
        <v>2.7</v>
      </c>
      <c r="E1094" s="21"/>
      <c r="F1094" s="2">
        <f t="shared" si="23"/>
        <v>0</v>
      </c>
      <c r="G1094" s="3" t="str">
        <f>HYPERLINK("http://tmmp-catalog.com.ua/katalog/1/18150/","фото")</f>
        <v>фото</v>
      </c>
      <c r="H1094" s="22"/>
    </row>
    <row r="1095" spans="1:8" ht="15" x14ac:dyDescent="0.2">
      <c r="A1095" s="18">
        <v>2000000000671</v>
      </c>
      <c r="B1095" s="19" t="s">
        <v>2235</v>
      </c>
      <c r="C1095" s="20" t="s">
        <v>2236</v>
      </c>
      <c r="D1095" s="2">
        <v>1.4</v>
      </c>
      <c r="E1095" s="21"/>
      <c r="F1095" s="2">
        <f t="shared" si="23"/>
        <v>0</v>
      </c>
      <c r="G1095" s="3" t="str">
        <f>HYPERLINK("http://tmmp-catalog.com.ua/katalog/1/14686/","фото")</f>
        <v>фото</v>
      </c>
      <c r="H1095" s="22"/>
    </row>
    <row r="1096" spans="1:8" ht="15" x14ac:dyDescent="0.2">
      <c r="A1096" s="18">
        <v>2000000014036</v>
      </c>
      <c r="B1096" s="19" t="s">
        <v>2237</v>
      </c>
      <c r="C1096" s="20" t="s">
        <v>2238</v>
      </c>
      <c r="D1096" s="2">
        <v>1.4</v>
      </c>
      <c r="E1096" s="21"/>
      <c r="F1096" s="2">
        <f t="shared" si="23"/>
        <v>0</v>
      </c>
      <c r="G1096" s="3" t="str">
        <f>HYPERLINK("http://tmmp-catalog.com.ua/katalog/2/15012/","фото")</f>
        <v>фото</v>
      </c>
      <c r="H1096" s="22"/>
    </row>
    <row r="1097" spans="1:8" ht="15" x14ac:dyDescent="0.2">
      <c r="A1097" s="18">
        <v>2000000014944</v>
      </c>
      <c r="B1097" s="19" t="s">
        <v>2239</v>
      </c>
      <c r="C1097" s="20" t="s">
        <v>2240</v>
      </c>
      <c r="D1097" s="2">
        <v>0.5</v>
      </c>
      <c r="E1097" s="21"/>
      <c r="F1097" s="2">
        <f t="shared" si="23"/>
        <v>0</v>
      </c>
      <c r="G1097" s="3" t="str">
        <f>HYPERLINK("http://tmmp-catalog.com.ua/katalog/2/16627/","фото")</f>
        <v>фото</v>
      </c>
      <c r="H1097" s="22"/>
    </row>
    <row r="1098" spans="1:8" ht="15" x14ac:dyDescent="0.2">
      <c r="A1098" s="18">
        <v>2000000001364</v>
      </c>
      <c r="B1098" s="19" t="s">
        <v>2241</v>
      </c>
      <c r="C1098" s="20" t="s">
        <v>2242</v>
      </c>
      <c r="D1098" s="2">
        <v>0.5</v>
      </c>
      <c r="E1098" s="21"/>
      <c r="F1098" s="2">
        <f t="shared" si="23"/>
        <v>0</v>
      </c>
      <c r="G1098" s="3" t="str">
        <f>HYPERLINK("http://tmmp-catalog.com.ua/katalog/1/14757/","фото")</f>
        <v>фото</v>
      </c>
      <c r="H1098" s="22"/>
    </row>
    <row r="1099" spans="1:8" ht="15" x14ac:dyDescent="0.2">
      <c r="A1099" s="18">
        <v>2000000001777</v>
      </c>
      <c r="B1099" s="19" t="s">
        <v>2243</v>
      </c>
      <c r="C1099" s="20" t="s">
        <v>2244</v>
      </c>
      <c r="D1099" s="2">
        <v>0.5</v>
      </c>
      <c r="E1099" s="21"/>
      <c r="F1099" s="2">
        <f t="shared" si="23"/>
        <v>0</v>
      </c>
      <c r="G1099" s="3" t="str">
        <f>HYPERLINK("http://tmmp-catalog.com.ua/katalog/1/16613/","фото")</f>
        <v>фото</v>
      </c>
      <c r="H1099" s="22"/>
    </row>
    <row r="1100" spans="1:8" ht="15" x14ac:dyDescent="0.2">
      <c r="A1100" s="18">
        <v>2000000001784</v>
      </c>
      <c r="B1100" s="19" t="s">
        <v>2245</v>
      </c>
      <c r="C1100" s="20" t="s">
        <v>2246</v>
      </c>
      <c r="D1100" s="2">
        <v>0.5</v>
      </c>
      <c r="E1100" s="21"/>
      <c r="F1100" s="2">
        <f t="shared" ref="F1100:F1163" si="24">cena*zakaz</f>
        <v>0</v>
      </c>
      <c r="G1100" s="3" t="str">
        <f>HYPERLINK("http://tmmp-catalog.com.ua/katalog/1/16614/","фото")</f>
        <v>фото</v>
      </c>
      <c r="H1100" s="22"/>
    </row>
    <row r="1101" spans="1:8" ht="15" x14ac:dyDescent="0.2">
      <c r="A1101" s="18">
        <v>2000000001937</v>
      </c>
      <c r="B1101" s="19" t="s">
        <v>2247</v>
      </c>
      <c r="C1101" s="20" t="s">
        <v>2248</v>
      </c>
      <c r="D1101" s="2">
        <v>0.5</v>
      </c>
      <c r="E1101" s="21"/>
      <c r="F1101" s="2">
        <f t="shared" si="24"/>
        <v>0</v>
      </c>
      <c r="G1101" s="3" t="str">
        <f>HYPERLINK("http://tmmp-catalog.com.ua/katalog/1/16818/","фото")</f>
        <v>фото</v>
      </c>
      <c r="H1101" s="22"/>
    </row>
    <row r="1102" spans="1:8" ht="15" x14ac:dyDescent="0.2">
      <c r="A1102" s="18">
        <v>2000000014043</v>
      </c>
      <c r="B1102" s="19" t="s">
        <v>2249</v>
      </c>
      <c r="C1102" s="20" t="s">
        <v>2250</v>
      </c>
      <c r="D1102" s="2">
        <v>1.1499999999999999</v>
      </c>
      <c r="E1102" s="21"/>
      <c r="F1102" s="2">
        <f t="shared" si="24"/>
        <v>0</v>
      </c>
      <c r="G1102" s="3" t="str">
        <f>HYPERLINK("http://tmmp-catalog.com.ua/katalog/2/15013/","фото")</f>
        <v>фото</v>
      </c>
      <c r="H1102" s="22"/>
    </row>
    <row r="1103" spans="1:8" ht="15" x14ac:dyDescent="0.2">
      <c r="A1103" s="18">
        <v>2000000015385</v>
      </c>
      <c r="B1103" s="19" t="s">
        <v>2251</v>
      </c>
      <c r="C1103" s="20" t="s">
        <v>2252</v>
      </c>
      <c r="D1103" s="2">
        <v>5</v>
      </c>
      <c r="E1103" s="21"/>
      <c r="F1103" s="2">
        <f t="shared" si="24"/>
        <v>0</v>
      </c>
      <c r="G1103" s="3" t="str">
        <f>HYPERLINK("http://tmmp-catalog.com.ua/katalog/2/16805/","фото")</f>
        <v>фото</v>
      </c>
      <c r="H1103" s="22"/>
    </row>
    <row r="1104" spans="1:8" ht="15" x14ac:dyDescent="0.2">
      <c r="A1104" s="18">
        <v>2000000014951</v>
      </c>
      <c r="B1104" s="19" t="s">
        <v>2253</v>
      </c>
      <c r="C1104" s="20" t="s">
        <v>2254</v>
      </c>
      <c r="D1104" s="2">
        <v>1.1000000000000001</v>
      </c>
      <c r="E1104" s="21"/>
      <c r="F1104" s="2">
        <f t="shared" si="24"/>
        <v>0</v>
      </c>
      <c r="G1104" s="3" t="str">
        <f>HYPERLINK("http://tmmp-catalog.com.ua/katalog/2/16628/","фото")</f>
        <v>фото</v>
      </c>
      <c r="H1104" s="22"/>
    </row>
    <row r="1105" spans="1:8" ht="15" x14ac:dyDescent="0.2">
      <c r="A1105" s="18">
        <v>2000000014074</v>
      </c>
      <c r="B1105" s="19" t="s">
        <v>2255</v>
      </c>
      <c r="C1105" s="20" t="s">
        <v>2256</v>
      </c>
      <c r="D1105" s="2">
        <v>0.9</v>
      </c>
      <c r="E1105" s="21"/>
      <c r="F1105" s="2">
        <f t="shared" si="24"/>
        <v>0</v>
      </c>
      <c r="G1105" s="3" t="str">
        <f>HYPERLINK("http://tmmp-catalog.com.ua/katalog/2/15016/","фото")</f>
        <v>фото</v>
      </c>
      <c r="H1105" s="22"/>
    </row>
    <row r="1106" spans="1:8" ht="15" x14ac:dyDescent="0.2">
      <c r="A1106" s="18">
        <v>2000000014081</v>
      </c>
      <c r="B1106" s="19" t="s">
        <v>2257</v>
      </c>
      <c r="C1106" s="20" t="s">
        <v>2258</v>
      </c>
      <c r="D1106" s="2">
        <v>0.35</v>
      </c>
      <c r="E1106" s="21"/>
      <c r="F1106" s="2">
        <f t="shared" si="24"/>
        <v>0</v>
      </c>
      <c r="G1106" s="3" t="str">
        <f>HYPERLINK("http://tmmp-catalog.com.ua/katalog/2/15017/","фото")</f>
        <v>фото</v>
      </c>
      <c r="H1106" s="22"/>
    </row>
    <row r="1107" spans="1:8" ht="15" x14ac:dyDescent="0.2">
      <c r="A1107" s="18"/>
      <c r="B1107" s="19" t="s">
        <v>2259</v>
      </c>
      <c r="C1107" s="20" t="s">
        <v>2260</v>
      </c>
      <c r="D1107" s="2">
        <v>0.8</v>
      </c>
      <c r="E1107" s="21"/>
      <c r="F1107" s="2">
        <f t="shared" si="24"/>
        <v>0</v>
      </c>
      <c r="G1107" s="3" t="str">
        <f>HYPERLINK("http://tmmp-catalog.com.ua/katalog/1/17770/","фото")</f>
        <v>фото</v>
      </c>
      <c r="H1107" s="22"/>
    </row>
    <row r="1108" spans="1:8" ht="15" x14ac:dyDescent="0.2">
      <c r="A1108" s="18">
        <v>2000000014098</v>
      </c>
      <c r="B1108" s="19" t="s">
        <v>2261</v>
      </c>
      <c r="C1108" s="20" t="s">
        <v>2262</v>
      </c>
      <c r="D1108" s="2">
        <v>0.6</v>
      </c>
      <c r="E1108" s="21"/>
      <c r="F1108" s="2">
        <f t="shared" si="24"/>
        <v>0</v>
      </c>
      <c r="G1108" s="3" t="str">
        <f>HYPERLINK("http://tmmp-catalog.com.ua/katalog/2/15018/","фото")</f>
        <v>фото</v>
      </c>
      <c r="H1108" s="22"/>
    </row>
    <row r="1109" spans="1:8" ht="15" x14ac:dyDescent="0.2">
      <c r="A1109" s="18">
        <v>2000000001371</v>
      </c>
      <c r="B1109" s="19" t="s">
        <v>2263</v>
      </c>
      <c r="C1109" s="20" t="s">
        <v>2264</v>
      </c>
      <c r="D1109" s="2">
        <v>1.4</v>
      </c>
      <c r="E1109" s="21"/>
      <c r="F1109" s="2">
        <f t="shared" si="24"/>
        <v>0</v>
      </c>
      <c r="G1109" s="3" t="str">
        <f>HYPERLINK("http://tmmp-catalog.com.ua/katalog/1/14758/","фото")</f>
        <v>фото</v>
      </c>
      <c r="H1109" s="22"/>
    </row>
    <row r="1110" spans="1:8" ht="15" x14ac:dyDescent="0.2">
      <c r="A1110" s="18">
        <v>2000000000916</v>
      </c>
      <c r="B1110" s="19" t="s">
        <v>2265</v>
      </c>
      <c r="C1110" s="20" t="s">
        <v>2266</v>
      </c>
      <c r="D1110" s="2">
        <v>0.8</v>
      </c>
      <c r="E1110" s="21"/>
      <c r="F1110" s="2">
        <f t="shared" si="24"/>
        <v>0</v>
      </c>
      <c r="G1110" s="3" t="str">
        <f>HYPERLINK("http://tmmp-catalog.com.ua/katalog/1/14710/","фото")</f>
        <v>фото</v>
      </c>
      <c r="H1110" s="22"/>
    </row>
    <row r="1111" spans="1:8" ht="15" x14ac:dyDescent="0.2">
      <c r="A1111" s="18">
        <v>2000000013138</v>
      </c>
      <c r="B1111" s="19" t="s">
        <v>2267</v>
      </c>
      <c r="C1111" s="20" t="s">
        <v>2268</v>
      </c>
      <c r="D1111" s="2">
        <v>0.7</v>
      </c>
      <c r="E1111" s="21"/>
      <c r="F1111" s="2">
        <f t="shared" si="24"/>
        <v>0</v>
      </c>
      <c r="G1111" s="3" t="str">
        <f>HYPERLINK("http://tmmp-catalog.com.ua/katalog/2/14920/","фото")</f>
        <v>фото</v>
      </c>
      <c r="H1111" s="22"/>
    </row>
    <row r="1112" spans="1:8" ht="15" x14ac:dyDescent="0.2">
      <c r="A1112" s="18">
        <v>2000000014104</v>
      </c>
      <c r="B1112" s="19" t="s">
        <v>2269</v>
      </c>
      <c r="C1112" s="20" t="s">
        <v>2270</v>
      </c>
      <c r="D1112" s="2">
        <v>0.1</v>
      </c>
      <c r="E1112" s="21"/>
      <c r="F1112" s="2">
        <f t="shared" si="24"/>
        <v>0</v>
      </c>
      <c r="G1112" s="3" t="str">
        <f>HYPERLINK("http://tmmp-catalog.com.ua/katalog/2/15019/","фото")</f>
        <v>фото</v>
      </c>
      <c r="H1112" s="22"/>
    </row>
    <row r="1113" spans="1:8" ht="15" x14ac:dyDescent="0.2">
      <c r="A1113" s="18">
        <v>2000000001432</v>
      </c>
      <c r="B1113" s="19" t="s">
        <v>2271</v>
      </c>
      <c r="C1113" s="20" t="s">
        <v>2272</v>
      </c>
      <c r="D1113" s="2">
        <v>2.1</v>
      </c>
      <c r="E1113" s="21"/>
      <c r="F1113" s="2">
        <f t="shared" si="24"/>
        <v>0</v>
      </c>
      <c r="G1113" s="3" t="str">
        <f>HYPERLINK("http://tmmp-catalog.com.ua/katalog/1/14764/","фото")</f>
        <v>фото</v>
      </c>
      <c r="H1113" s="22"/>
    </row>
    <row r="1114" spans="1:8" ht="15" x14ac:dyDescent="0.2">
      <c r="A1114" s="18">
        <v>2000000001944</v>
      </c>
      <c r="B1114" s="19" t="s">
        <v>2273</v>
      </c>
      <c r="C1114" s="20" t="s">
        <v>2274</v>
      </c>
      <c r="D1114" s="2">
        <v>2.35</v>
      </c>
      <c r="E1114" s="21"/>
      <c r="F1114" s="2">
        <f t="shared" si="24"/>
        <v>0</v>
      </c>
      <c r="G1114" s="3" t="str">
        <f>HYPERLINK("http://tmmp-catalog.com.ua/katalog/1/16819/","фото")</f>
        <v>фото</v>
      </c>
      <c r="H1114" s="22"/>
    </row>
    <row r="1115" spans="1:8" ht="15" x14ac:dyDescent="0.2">
      <c r="A1115" s="18">
        <v>2000000001456</v>
      </c>
      <c r="B1115" s="19" t="s">
        <v>2275</v>
      </c>
      <c r="C1115" s="20" t="s">
        <v>2276</v>
      </c>
      <c r="D1115" s="2">
        <v>2.1</v>
      </c>
      <c r="E1115" s="21"/>
      <c r="F1115" s="2">
        <f t="shared" si="24"/>
        <v>0</v>
      </c>
      <c r="G1115" s="3" t="str">
        <f>HYPERLINK("http://tmmp-catalog.com.ua/katalog/1/14766/","фото")</f>
        <v>фото</v>
      </c>
      <c r="H1115" s="22"/>
    </row>
    <row r="1116" spans="1:8" ht="15" x14ac:dyDescent="0.2">
      <c r="A1116" s="18"/>
      <c r="B1116" s="19" t="s">
        <v>2277</v>
      </c>
      <c r="C1116" s="20" t="s">
        <v>2278</v>
      </c>
      <c r="D1116" s="2">
        <v>1.7</v>
      </c>
      <c r="E1116" s="21"/>
      <c r="F1116" s="2">
        <f t="shared" si="24"/>
        <v>0</v>
      </c>
      <c r="G1116" s="3" t="str">
        <f>HYPERLINK("http://tmmp-catalog.com.ua/katalog/37/18673/","фото")</f>
        <v>фото</v>
      </c>
      <c r="H1116" s="22"/>
    </row>
    <row r="1117" spans="1:8" ht="15" x14ac:dyDescent="0.2">
      <c r="A1117" s="18">
        <v>2000000015408</v>
      </c>
      <c r="B1117" s="19" t="s">
        <v>2279</v>
      </c>
      <c r="C1117" s="20" t="s">
        <v>2280</v>
      </c>
      <c r="D1117" s="2">
        <v>2.7</v>
      </c>
      <c r="E1117" s="21"/>
      <c r="F1117" s="2">
        <f t="shared" si="24"/>
        <v>0</v>
      </c>
      <c r="G1117" s="3" t="str">
        <f>HYPERLINK("http://tmmp-catalog.com.ua/katalog/2/17030/","фото")</f>
        <v>фото</v>
      </c>
      <c r="H1117" s="22"/>
    </row>
    <row r="1118" spans="1:8" ht="15" x14ac:dyDescent="0.2">
      <c r="A1118" s="18">
        <v>2000000014142</v>
      </c>
      <c r="B1118" s="19" t="s">
        <v>2281</v>
      </c>
      <c r="C1118" s="20" t="s">
        <v>2282</v>
      </c>
      <c r="D1118" s="2">
        <v>2</v>
      </c>
      <c r="E1118" s="21"/>
      <c r="F1118" s="2">
        <f t="shared" si="24"/>
        <v>0</v>
      </c>
      <c r="G1118" s="3" t="str">
        <f>HYPERLINK("http://tmmp-catalog.com.ua/katalog/2/15023/","фото")</f>
        <v>фото</v>
      </c>
      <c r="H1118" s="22"/>
    </row>
    <row r="1119" spans="1:8" ht="15" x14ac:dyDescent="0.2">
      <c r="A1119" s="18">
        <v>2000000014159</v>
      </c>
      <c r="B1119" s="19" t="s">
        <v>2283</v>
      </c>
      <c r="C1119" s="20" t="s">
        <v>2284</v>
      </c>
      <c r="D1119" s="2">
        <v>2.2999999999999998</v>
      </c>
      <c r="E1119" s="21"/>
      <c r="F1119" s="2">
        <f t="shared" si="24"/>
        <v>0</v>
      </c>
      <c r="G1119" s="3" t="str">
        <f>HYPERLINK("http://tmmp-catalog.com.ua/katalog/2/15024/","фото")</f>
        <v>фото</v>
      </c>
      <c r="H1119" s="22"/>
    </row>
    <row r="1120" spans="1:8" ht="15" x14ac:dyDescent="0.2">
      <c r="A1120" s="18"/>
      <c r="B1120" s="19" t="s">
        <v>2285</v>
      </c>
      <c r="C1120" s="20" t="s">
        <v>2286</v>
      </c>
      <c r="D1120" s="2">
        <v>2</v>
      </c>
      <c r="E1120" s="21"/>
      <c r="F1120" s="2">
        <f t="shared" si="24"/>
        <v>0</v>
      </c>
      <c r="G1120" s="3" t="str">
        <f>HYPERLINK("http://tmmp-catalog.com.ua/katalog/37/18621/","фото")</f>
        <v>фото</v>
      </c>
      <c r="H1120" s="22"/>
    </row>
    <row r="1121" spans="1:8" ht="15" x14ac:dyDescent="0.2">
      <c r="A1121" s="18">
        <v>2000000014166</v>
      </c>
      <c r="B1121" s="19" t="s">
        <v>2287</v>
      </c>
      <c r="C1121" s="20" t="s">
        <v>2288</v>
      </c>
      <c r="D1121" s="2">
        <v>16.2</v>
      </c>
      <c r="E1121" s="21"/>
      <c r="F1121" s="2">
        <f t="shared" si="24"/>
        <v>0</v>
      </c>
      <c r="G1121" s="3" t="str">
        <f>HYPERLINK("http://tmmp-catalog.com.ua/katalog/2/15026/","фото")</f>
        <v>фото</v>
      </c>
      <c r="H1121" s="22"/>
    </row>
    <row r="1122" spans="1:8" ht="15" x14ac:dyDescent="0.2">
      <c r="A1122" s="18">
        <v>2000000014173</v>
      </c>
      <c r="B1122" s="19" t="s">
        <v>2289</v>
      </c>
      <c r="C1122" s="20" t="s">
        <v>2290</v>
      </c>
      <c r="D1122" s="2">
        <v>25.9</v>
      </c>
      <c r="E1122" s="21"/>
      <c r="F1122" s="2">
        <f t="shared" si="24"/>
        <v>0</v>
      </c>
      <c r="G1122" s="3" t="str">
        <f>HYPERLINK("http://tmmp-catalog.com.ua/katalog/2/15027/","фото")</f>
        <v>фото</v>
      </c>
      <c r="H1122" s="22"/>
    </row>
    <row r="1123" spans="1:8" ht="15" x14ac:dyDescent="0.2">
      <c r="A1123" s="18">
        <v>2000000014180</v>
      </c>
      <c r="B1123" s="19" t="s">
        <v>2291</v>
      </c>
      <c r="C1123" s="20" t="s">
        <v>2292</v>
      </c>
      <c r="D1123" s="2">
        <v>18</v>
      </c>
      <c r="E1123" s="21"/>
      <c r="F1123" s="2">
        <f t="shared" si="24"/>
        <v>0</v>
      </c>
      <c r="G1123" s="3" t="str">
        <f>HYPERLINK("http://tmmp-catalog.com.ua/katalog/2/15028/","фото")</f>
        <v>фото</v>
      </c>
      <c r="H1123" s="22"/>
    </row>
    <row r="1124" spans="1:8" ht="15" x14ac:dyDescent="0.2">
      <c r="A1124" s="18">
        <v>2000000014197</v>
      </c>
      <c r="B1124" s="19" t="s">
        <v>2293</v>
      </c>
      <c r="C1124" s="20" t="s">
        <v>2294</v>
      </c>
      <c r="D1124" s="2">
        <v>18</v>
      </c>
      <c r="E1124" s="21"/>
      <c r="F1124" s="2">
        <f t="shared" si="24"/>
        <v>0</v>
      </c>
      <c r="G1124" s="3" t="str">
        <f>HYPERLINK("http://tmmp-catalog.com.ua/katalog/2/15029/","фото")</f>
        <v>фото</v>
      </c>
      <c r="H1124" s="22"/>
    </row>
    <row r="1125" spans="1:8" ht="15" x14ac:dyDescent="0.2">
      <c r="A1125" s="18">
        <v>2000000001463</v>
      </c>
      <c r="B1125" s="19" t="s">
        <v>2295</v>
      </c>
      <c r="C1125" s="20" t="s">
        <v>2296</v>
      </c>
      <c r="D1125" s="2">
        <v>0.35</v>
      </c>
      <c r="E1125" s="21"/>
      <c r="F1125" s="2">
        <f t="shared" si="24"/>
        <v>0</v>
      </c>
      <c r="G1125" s="3" t="str">
        <f>HYPERLINK("http://tmmp-catalog.com.ua/katalog/1/14768/","фото")</f>
        <v>фото</v>
      </c>
      <c r="H1125" s="22"/>
    </row>
    <row r="1126" spans="1:8" ht="15" x14ac:dyDescent="0.2">
      <c r="A1126" s="18">
        <v>2000000015354</v>
      </c>
      <c r="B1126" s="19" t="s">
        <v>2297</v>
      </c>
      <c r="C1126" s="20" t="s">
        <v>2298</v>
      </c>
      <c r="D1126" s="2">
        <v>0.3</v>
      </c>
      <c r="E1126" s="21"/>
      <c r="F1126" s="2">
        <f t="shared" si="24"/>
        <v>0</v>
      </c>
      <c r="G1126" s="3" t="str">
        <f>HYPERLINK("http://tmmp-catalog.com.ua/katalog/2/16801/","фото")</f>
        <v>фото</v>
      </c>
      <c r="H1126" s="22"/>
    </row>
    <row r="1127" spans="1:8" ht="15" x14ac:dyDescent="0.2">
      <c r="A1127" s="18">
        <v>2000000015330</v>
      </c>
      <c r="B1127" s="19" t="s">
        <v>2299</v>
      </c>
      <c r="C1127" s="20" t="s">
        <v>2300</v>
      </c>
      <c r="D1127" s="2">
        <v>10.7</v>
      </c>
      <c r="E1127" s="21"/>
      <c r="F1127" s="2">
        <f t="shared" si="24"/>
        <v>0</v>
      </c>
      <c r="G1127" s="3" t="str">
        <f>HYPERLINK("http://tmmp-catalog.com.ua/katalog/2/16799/","фото")</f>
        <v>фото</v>
      </c>
      <c r="H1127" s="22"/>
    </row>
    <row r="1128" spans="1:8" ht="15" x14ac:dyDescent="0.2">
      <c r="A1128" s="18">
        <v>1000165800103</v>
      </c>
      <c r="B1128" s="19" t="s">
        <v>2301</v>
      </c>
      <c r="C1128" s="20" t="s">
        <v>2302</v>
      </c>
      <c r="D1128" s="2">
        <v>12.3</v>
      </c>
      <c r="E1128" s="21"/>
      <c r="F1128" s="2">
        <f t="shared" si="24"/>
        <v>0</v>
      </c>
      <c r="G1128" s="3" t="str">
        <f>HYPERLINK("http://tmmp-catalog.com.ua/katalog/1/14769/","фото")</f>
        <v>фото</v>
      </c>
      <c r="H1128" s="22"/>
    </row>
    <row r="1129" spans="1:8" ht="15" x14ac:dyDescent="0.2">
      <c r="A1129" s="18"/>
      <c r="B1129" s="19" t="s">
        <v>2303</v>
      </c>
      <c r="C1129" s="20" t="s">
        <v>2304</v>
      </c>
      <c r="D1129" s="2">
        <v>1.8</v>
      </c>
      <c r="E1129" s="21"/>
      <c r="F1129" s="2">
        <f t="shared" si="24"/>
        <v>0</v>
      </c>
      <c r="G1129" s="3" t="str">
        <f>HYPERLINK("http://tmmp-catalog.com.ua/katalog/37/18513/","фото")</f>
        <v>фото</v>
      </c>
      <c r="H1129" s="22"/>
    </row>
    <row r="1130" spans="1:8" ht="15" x14ac:dyDescent="0.2">
      <c r="A1130" s="18">
        <v>2000000014234</v>
      </c>
      <c r="B1130" s="19" t="s">
        <v>2305</v>
      </c>
      <c r="C1130" s="20" t="s">
        <v>2306</v>
      </c>
      <c r="D1130" s="2">
        <v>3.5</v>
      </c>
      <c r="E1130" s="21"/>
      <c r="F1130" s="2">
        <f t="shared" si="24"/>
        <v>0</v>
      </c>
      <c r="G1130" s="3" t="str">
        <f>HYPERLINK("http://tmmp-catalog.com.ua/katalog/2/15033/","фото")</f>
        <v>фото</v>
      </c>
      <c r="H1130" s="22"/>
    </row>
    <row r="1131" spans="1:8" ht="15" x14ac:dyDescent="0.2">
      <c r="A1131" s="18">
        <v>2000000014241</v>
      </c>
      <c r="B1131" s="19" t="s">
        <v>2307</v>
      </c>
      <c r="C1131" s="20" t="s">
        <v>2308</v>
      </c>
      <c r="D1131" s="2">
        <v>4.2</v>
      </c>
      <c r="E1131" s="21"/>
      <c r="F1131" s="2">
        <f t="shared" si="24"/>
        <v>0</v>
      </c>
      <c r="G1131" s="3" t="str">
        <f>HYPERLINK("http://tmmp-catalog.com.ua/katalog/2/15034/","фото")</f>
        <v>фото</v>
      </c>
      <c r="H1131" s="22"/>
    </row>
    <row r="1132" spans="1:8" ht="15" x14ac:dyDescent="0.2">
      <c r="A1132" s="18">
        <v>2000000001487</v>
      </c>
      <c r="B1132" s="19" t="s">
        <v>2309</v>
      </c>
      <c r="C1132" s="20" t="s">
        <v>2310</v>
      </c>
      <c r="D1132" s="2">
        <v>0.9</v>
      </c>
      <c r="E1132" s="21"/>
      <c r="F1132" s="2">
        <f t="shared" si="24"/>
        <v>0</v>
      </c>
      <c r="G1132" s="3" t="str">
        <f>HYPERLINK("http://tmmp-catalog.com.ua/katalog/1/14770/","фото")</f>
        <v>фото</v>
      </c>
      <c r="H1132" s="22"/>
    </row>
    <row r="1133" spans="1:8" ht="15" x14ac:dyDescent="0.2">
      <c r="A1133" s="18">
        <v>2000000014302</v>
      </c>
      <c r="B1133" s="19" t="s">
        <v>2311</v>
      </c>
      <c r="C1133" s="20" t="s">
        <v>2312</v>
      </c>
      <c r="D1133" s="2">
        <v>0.8</v>
      </c>
      <c r="E1133" s="21"/>
      <c r="F1133" s="2">
        <f t="shared" si="24"/>
        <v>0</v>
      </c>
      <c r="G1133" s="3" t="str">
        <f>HYPERLINK("http://tmmp-catalog.com.ua/katalog/2/15041/","фото")</f>
        <v>фото</v>
      </c>
      <c r="H1133" s="22"/>
    </row>
    <row r="1134" spans="1:8" ht="15" x14ac:dyDescent="0.2">
      <c r="A1134" s="18">
        <v>2000000001500</v>
      </c>
      <c r="B1134" s="19" t="s">
        <v>2313</v>
      </c>
      <c r="C1134" s="20" t="s">
        <v>2314</v>
      </c>
      <c r="D1134" s="2">
        <v>0.15</v>
      </c>
      <c r="E1134" s="21"/>
      <c r="F1134" s="2">
        <f t="shared" si="24"/>
        <v>0</v>
      </c>
      <c r="G1134" s="3" t="str">
        <f>HYPERLINK("http://tmmp-catalog.com.ua/katalog/1/14772/","фото")</f>
        <v>фото</v>
      </c>
      <c r="H1134" s="22"/>
    </row>
    <row r="1135" spans="1:8" ht="15" x14ac:dyDescent="0.2">
      <c r="A1135" s="18"/>
      <c r="B1135" s="19" t="s">
        <v>2315</v>
      </c>
      <c r="C1135" s="20" t="s">
        <v>2316</v>
      </c>
      <c r="D1135" s="2">
        <v>0.25</v>
      </c>
      <c r="E1135" s="21"/>
      <c r="F1135" s="2">
        <f t="shared" si="24"/>
        <v>0</v>
      </c>
      <c r="G1135" s="3" t="str">
        <f>HYPERLINK("http://tmmp-catalog.com.ua/katalog/2/17349/","фото")</f>
        <v>фото</v>
      </c>
      <c r="H1135" s="22"/>
    </row>
    <row r="1136" spans="1:8" ht="15" x14ac:dyDescent="0.2">
      <c r="A1136" s="18">
        <v>2000000001517</v>
      </c>
      <c r="B1136" s="19" t="s">
        <v>2317</v>
      </c>
      <c r="C1136" s="20" t="s">
        <v>2318</v>
      </c>
      <c r="D1136" s="2">
        <v>3.4</v>
      </c>
      <c r="E1136" s="21"/>
      <c r="F1136" s="2">
        <f t="shared" si="24"/>
        <v>0</v>
      </c>
      <c r="G1136" s="3" t="str">
        <f>HYPERLINK("http://tmmp-catalog.com.ua/katalog/1/14773/","фото")</f>
        <v>фото</v>
      </c>
      <c r="H1136" s="22"/>
    </row>
    <row r="1137" spans="1:8" ht="15" x14ac:dyDescent="0.2">
      <c r="A1137" s="18">
        <v>2000000014326</v>
      </c>
      <c r="B1137" s="19" t="s">
        <v>2319</v>
      </c>
      <c r="C1137" s="20" t="s">
        <v>2320</v>
      </c>
      <c r="D1137" s="2">
        <v>3.2</v>
      </c>
      <c r="E1137" s="21"/>
      <c r="F1137" s="2">
        <f t="shared" si="24"/>
        <v>0</v>
      </c>
      <c r="G1137" s="3" t="str">
        <f>HYPERLINK("http://tmmp-catalog.com.ua/katalog/2/15043/","фото")</f>
        <v>фото</v>
      </c>
      <c r="H1137" s="22"/>
    </row>
    <row r="1138" spans="1:8" ht="15" x14ac:dyDescent="0.2">
      <c r="A1138" s="18">
        <v>2000000015293</v>
      </c>
      <c r="B1138" s="19" t="s">
        <v>2321</v>
      </c>
      <c r="C1138" s="20" t="s">
        <v>2322</v>
      </c>
      <c r="D1138" s="2">
        <v>14</v>
      </c>
      <c r="E1138" s="21"/>
      <c r="F1138" s="2">
        <f t="shared" si="24"/>
        <v>0</v>
      </c>
      <c r="G1138" s="3" t="str">
        <f>HYPERLINK("http://tmmp-catalog.com.ua/katalog/2/16795/","фото")</f>
        <v>фото</v>
      </c>
      <c r="H1138" s="22"/>
    </row>
    <row r="1139" spans="1:8" ht="15" x14ac:dyDescent="0.2">
      <c r="A1139" s="18">
        <v>2000000015286</v>
      </c>
      <c r="B1139" s="19" t="s">
        <v>2323</v>
      </c>
      <c r="C1139" s="20" t="s">
        <v>2324</v>
      </c>
      <c r="D1139" s="2">
        <v>12</v>
      </c>
      <c r="E1139" s="21"/>
      <c r="F1139" s="2">
        <f t="shared" si="24"/>
        <v>0</v>
      </c>
      <c r="G1139" s="3" t="str">
        <f>HYPERLINK("http://tmmp-catalog.com.ua/katalog/2/16794/","фото")</f>
        <v>фото</v>
      </c>
      <c r="H1139" s="22"/>
    </row>
    <row r="1140" spans="1:8" ht="15" x14ac:dyDescent="0.2">
      <c r="A1140" s="18">
        <v>2000000014883</v>
      </c>
      <c r="B1140" s="19" t="s">
        <v>2325</v>
      </c>
      <c r="C1140" s="20" t="s">
        <v>2326</v>
      </c>
      <c r="D1140" s="2">
        <v>13</v>
      </c>
      <c r="E1140" s="21"/>
      <c r="F1140" s="2">
        <f t="shared" si="24"/>
        <v>0</v>
      </c>
      <c r="G1140" s="3" t="str">
        <f>HYPERLINK("http://tmmp-catalog.com.ua/katalog/2/16620/","фото")</f>
        <v>фото</v>
      </c>
      <c r="H1140" s="22"/>
    </row>
    <row r="1141" spans="1:8" ht="15" x14ac:dyDescent="0.2">
      <c r="A1141" s="18"/>
      <c r="B1141" s="19" t="s">
        <v>2327</v>
      </c>
      <c r="C1141" s="20" t="s">
        <v>2328</v>
      </c>
      <c r="D1141" s="2">
        <v>1</v>
      </c>
      <c r="E1141" s="21"/>
      <c r="F1141" s="2">
        <f t="shared" si="24"/>
        <v>0</v>
      </c>
      <c r="G1141" s="3" t="str">
        <f>HYPERLINK("http://tmmp-catalog.com.ua/katalog/2/17338/","фото")</f>
        <v>фото</v>
      </c>
      <c r="H1141" s="22"/>
    </row>
    <row r="1142" spans="1:8" ht="15" x14ac:dyDescent="0.2">
      <c r="A1142" s="18">
        <v>2000000001524</v>
      </c>
      <c r="B1142" s="19" t="s">
        <v>2329</v>
      </c>
      <c r="C1142" s="20" t="s">
        <v>2330</v>
      </c>
      <c r="D1142" s="2">
        <v>1.1000000000000001</v>
      </c>
      <c r="E1142" s="21"/>
      <c r="F1142" s="2">
        <f t="shared" si="24"/>
        <v>0</v>
      </c>
      <c r="G1142" s="3" t="str">
        <f>HYPERLINK("http://tmmp-catalog.com.ua/katalog/1/14774/","фото")</f>
        <v>фото</v>
      </c>
      <c r="H1142" s="22"/>
    </row>
    <row r="1143" spans="1:8" ht="15" x14ac:dyDescent="0.2">
      <c r="A1143" s="18">
        <v>2000000001531</v>
      </c>
      <c r="B1143" s="19" t="s">
        <v>2331</v>
      </c>
      <c r="C1143" s="20" t="s">
        <v>2332</v>
      </c>
      <c r="D1143" s="2">
        <v>1.1000000000000001</v>
      </c>
      <c r="E1143" s="21"/>
      <c r="F1143" s="2">
        <f t="shared" si="24"/>
        <v>0</v>
      </c>
      <c r="G1143" s="3" t="str">
        <f>HYPERLINK("http://tmmp-catalog.com.ua/katalog/1/14775/","фото")</f>
        <v>фото</v>
      </c>
      <c r="H1143" s="22"/>
    </row>
    <row r="1144" spans="1:8" ht="15" x14ac:dyDescent="0.2">
      <c r="A1144" s="18">
        <v>2000000014357</v>
      </c>
      <c r="B1144" s="19" t="s">
        <v>2333</v>
      </c>
      <c r="C1144" s="20" t="s">
        <v>2334</v>
      </c>
      <c r="D1144" s="2">
        <v>1.6</v>
      </c>
      <c r="E1144" s="21"/>
      <c r="F1144" s="2">
        <f t="shared" si="24"/>
        <v>0</v>
      </c>
      <c r="G1144" s="3" t="str">
        <f>HYPERLINK("http://tmmp-catalog.com.ua/katalog/2/15047/","фото")</f>
        <v>фото</v>
      </c>
      <c r="H1144" s="22"/>
    </row>
    <row r="1145" spans="1:8" ht="15" x14ac:dyDescent="0.2">
      <c r="A1145" s="18">
        <v>2000000001555</v>
      </c>
      <c r="B1145" s="19" t="s">
        <v>2335</v>
      </c>
      <c r="C1145" s="20" t="s">
        <v>2336</v>
      </c>
      <c r="D1145" s="2">
        <v>1.3</v>
      </c>
      <c r="E1145" s="21"/>
      <c r="F1145" s="2">
        <f t="shared" si="24"/>
        <v>0</v>
      </c>
      <c r="G1145" s="3" t="str">
        <f>HYPERLINK("http://tmmp-catalog.com.ua/katalog/1/14777/","фото")</f>
        <v>фото</v>
      </c>
      <c r="H1145" s="22"/>
    </row>
    <row r="1146" spans="1:8" ht="15" x14ac:dyDescent="0.2">
      <c r="A1146" s="18">
        <v>2000000001548</v>
      </c>
      <c r="B1146" s="19" t="s">
        <v>2337</v>
      </c>
      <c r="C1146" s="20" t="s">
        <v>2338</v>
      </c>
      <c r="D1146" s="2">
        <v>1.6</v>
      </c>
      <c r="E1146" s="21"/>
      <c r="F1146" s="2">
        <f t="shared" si="24"/>
        <v>0</v>
      </c>
      <c r="G1146" s="3" t="str">
        <f>HYPERLINK("http://tmmp-catalog.com.ua/katalog/1/14776/","фото")</f>
        <v>фото</v>
      </c>
      <c r="H1146" s="22"/>
    </row>
    <row r="1147" spans="1:8" ht="15" x14ac:dyDescent="0.2">
      <c r="A1147" s="18">
        <v>2000000001562</v>
      </c>
      <c r="B1147" s="19" t="s">
        <v>2339</v>
      </c>
      <c r="C1147" s="20" t="s">
        <v>2340</v>
      </c>
      <c r="D1147" s="2">
        <v>1.1000000000000001</v>
      </c>
      <c r="E1147" s="21"/>
      <c r="F1147" s="2">
        <f t="shared" si="24"/>
        <v>0</v>
      </c>
      <c r="G1147" s="3" t="str">
        <f>HYPERLINK("http://tmmp-catalog.com.ua/katalog/1/14778/","фото")</f>
        <v>фото</v>
      </c>
      <c r="H1147" s="22"/>
    </row>
    <row r="1148" spans="1:8" ht="15" x14ac:dyDescent="0.2">
      <c r="A1148" s="18">
        <v>2000000014371</v>
      </c>
      <c r="B1148" s="19" t="s">
        <v>2341</v>
      </c>
      <c r="C1148" s="20" t="s">
        <v>2342</v>
      </c>
      <c r="D1148" s="2">
        <v>1</v>
      </c>
      <c r="E1148" s="21"/>
      <c r="F1148" s="2">
        <f t="shared" si="24"/>
        <v>0</v>
      </c>
      <c r="G1148" s="3" t="str">
        <f>HYPERLINK("http://tmmp-catalog.com.ua/katalog/2/15049/","фото")</f>
        <v>фото</v>
      </c>
      <c r="H1148" s="22"/>
    </row>
    <row r="1149" spans="1:8" ht="15" x14ac:dyDescent="0.2">
      <c r="A1149" s="18"/>
      <c r="B1149" s="19" t="s">
        <v>2343</v>
      </c>
      <c r="C1149" s="20" t="s">
        <v>2344</v>
      </c>
      <c r="D1149" s="2">
        <v>0.9</v>
      </c>
      <c r="E1149" s="21"/>
      <c r="F1149" s="2">
        <f t="shared" si="24"/>
        <v>0</v>
      </c>
      <c r="G1149" s="3" t="str">
        <f>HYPERLINK("http://tmmp-catalog.com.ua/katalog/2/17580/","фото")</f>
        <v>фото</v>
      </c>
      <c r="H1149" s="22"/>
    </row>
    <row r="1150" spans="1:8" ht="15" x14ac:dyDescent="0.2">
      <c r="A1150" s="18">
        <v>2000000014395</v>
      </c>
      <c r="B1150" s="19" t="s">
        <v>2345</v>
      </c>
      <c r="C1150" s="20" t="s">
        <v>2346</v>
      </c>
      <c r="D1150" s="2">
        <v>1.2</v>
      </c>
      <c r="E1150" s="21"/>
      <c r="F1150" s="2">
        <f t="shared" si="24"/>
        <v>0</v>
      </c>
      <c r="G1150" s="3" t="str">
        <f>HYPERLINK("http://tmmp-catalog.com.ua/katalog/2/15051/","фото")</f>
        <v>фото</v>
      </c>
      <c r="H1150" s="22"/>
    </row>
    <row r="1151" spans="1:8" ht="15" x14ac:dyDescent="0.2">
      <c r="A1151" s="18">
        <v>2000000001586</v>
      </c>
      <c r="B1151" s="19" t="s">
        <v>2347</v>
      </c>
      <c r="C1151" s="20" t="s">
        <v>2348</v>
      </c>
      <c r="D1151" s="2">
        <v>1.1000000000000001</v>
      </c>
      <c r="E1151" s="21"/>
      <c r="F1151" s="2">
        <f t="shared" si="24"/>
        <v>0</v>
      </c>
      <c r="G1151" s="3" t="str">
        <f>HYPERLINK("http://tmmp-catalog.com.ua/katalog/1/14780/","фото")</f>
        <v>фото</v>
      </c>
      <c r="H1151" s="22"/>
    </row>
    <row r="1152" spans="1:8" ht="15" x14ac:dyDescent="0.2">
      <c r="A1152" s="18">
        <v>2000000014401</v>
      </c>
      <c r="B1152" s="19" t="s">
        <v>2349</v>
      </c>
      <c r="C1152" s="20" t="s">
        <v>2350</v>
      </c>
      <c r="D1152" s="2">
        <v>0.7</v>
      </c>
      <c r="E1152" s="21"/>
      <c r="F1152" s="2">
        <f t="shared" si="24"/>
        <v>0</v>
      </c>
      <c r="G1152" s="3" t="str">
        <f>HYPERLINK("http://tmmp-catalog.com.ua/katalog/2/15052/","фото")</f>
        <v>фото</v>
      </c>
      <c r="H1152" s="22"/>
    </row>
    <row r="1153" spans="1:8" ht="15" x14ac:dyDescent="0.2">
      <c r="A1153" s="18">
        <v>2000000014418</v>
      </c>
      <c r="B1153" s="19" t="s">
        <v>2351</v>
      </c>
      <c r="C1153" s="20" t="s">
        <v>2352</v>
      </c>
      <c r="D1153" s="2">
        <v>0.8</v>
      </c>
      <c r="E1153" s="21"/>
      <c r="F1153" s="2">
        <f t="shared" si="24"/>
        <v>0</v>
      </c>
      <c r="G1153" s="3" t="str">
        <f>HYPERLINK("http://tmmp-catalog.com.ua/katalog/2/15053/","фото")</f>
        <v>фото</v>
      </c>
      <c r="H1153" s="22"/>
    </row>
    <row r="1154" spans="1:8" ht="15" x14ac:dyDescent="0.2">
      <c r="A1154" s="18">
        <v>2000000001593</v>
      </c>
      <c r="B1154" s="19" t="s">
        <v>2353</v>
      </c>
      <c r="C1154" s="20" t="s">
        <v>2354</v>
      </c>
      <c r="D1154" s="2">
        <v>1.25</v>
      </c>
      <c r="E1154" s="21"/>
      <c r="F1154" s="2">
        <f t="shared" si="24"/>
        <v>0</v>
      </c>
      <c r="G1154" s="3" t="str">
        <f>HYPERLINK("http://tmmp-catalog.com.ua/katalog/1/14781/","фото")</f>
        <v>фото</v>
      </c>
      <c r="H1154" s="22"/>
    </row>
    <row r="1155" spans="1:8" ht="15" x14ac:dyDescent="0.2">
      <c r="A1155" s="18">
        <v>2000000014425</v>
      </c>
      <c r="B1155" s="19" t="s">
        <v>2355</v>
      </c>
      <c r="C1155" s="20" t="s">
        <v>2356</v>
      </c>
      <c r="D1155" s="2">
        <v>1.5</v>
      </c>
      <c r="E1155" s="21"/>
      <c r="F1155" s="2">
        <f t="shared" si="24"/>
        <v>0</v>
      </c>
      <c r="G1155" s="3" t="str">
        <f>HYPERLINK("http://tmmp-catalog.com.ua/katalog/2/15054/","фото")</f>
        <v>фото</v>
      </c>
      <c r="H1155" s="22"/>
    </row>
    <row r="1156" spans="1:8" ht="15" x14ac:dyDescent="0.2">
      <c r="A1156" s="18">
        <v>2000000014449</v>
      </c>
      <c r="B1156" s="19" t="s">
        <v>2357</v>
      </c>
      <c r="C1156" s="20" t="s">
        <v>2358</v>
      </c>
      <c r="D1156" s="2">
        <v>22</v>
      </c>
      <c r="E1156" s="21"/>
      <c r="F1156" s="2">
        <f t="shared" si="24"/>
        <v>0</v>
      </c>
      <c r="G1156" s="3" t="str">
        <f>HYPERLINK("http://tmmp-catalog.com.ua/katalog/2/15056/","фото")</f>
        <v>фото</v>
      </c>
      <c r="H1156" s="22"/>
    </row>
    <row r="1157" spans="1:8" ht="15" x14ac:dyDescent="0.2">
      <c r="A1157" s="18">
        <v>2000000014432</v>
      </c>
      <c r="B1157" s="19" t="s">
        <v>2359</v>
      </c>
      <c r="C1157" s="20" t="s">
        <v>2360</v>
      </c>
      <c r="D1157" s="2">
        <v>7</v>
      </c>
      <c r="E1157" s="21"/>
      <c r="F1157" s="2">
        <f t="shared" si="24"/>
        <v>0</v>
      </c>
      <c r="G1157" s="3" t="str">
        <f>HYPERLINK("http://tmmp-catalog.com.ua/katalog/2/15055/","фото")</f>
        <v>фото</v>
      </c>
      <c r="H1157" s="22"/>
    </row>
    <row r="1158" spans="1:8" ht="15" x14ac:dyDescent="0.2">
      <c r="A1158" s="18">
        <v>2000000014500</v>
      </c>
      <c r="B1158" s="19" t="s">
        <v>2361</v>
      </c>
      <c r="C1158" s="20" t="s">
        <v>2362</v>
      </c>
      <c r="D1158" s="2">
        <v>11</v>
      </c>
      <c r="E1158" s="21"/>
      <c r="F1158" s="2">
        <f t="shared" si="24"/>
        <v>0</v>
      </c>
      <c r="G1158" s="3" t="str">
        <f>HYPERLINK("http://tmmp-catalog.com.ua/katalog/2/15062/","фото")</f>
        <v>фото</v>
      </c>
      <c r="H1158" s="22"/>
    </row>
    <row r="1159" spans="1:8" ht="15" x14ac:dyDescent="0.2">
      <c r="A1159" s="18"/>
      <c r="B1159" s="19" t="s">
        <v>2363</v>
      </c>
      <c r="C1159" s="20" t="s">
        <v>2364</v>
      </c>
      <c r="D1159" s="2">
        <v>11</v>
      </c>
      <c r="E1159" s="21"/>
      <c r="F1159" s="2">
        <f t="shared" si="24"/>
        <v>0</v>
      </c>
      <c r="G1159" s="3" t="str">
        <f>HYPERLINK("http://tmmp-catalog.com.ua/katalog/37/18522/","фото")</f>
        <v>фото</v>
      </c>
      <c r="H1159" s="22"/>
    </row>
    <row r="1160" spans="1:8" ht="15" x14ac:dyDescent="0.2">
      <c r="A1160" s="18">
        <v>2000000014456</v>
      </c>
      <c r="B1160" s="19" t="s">
        <v>2365</v>
      </c>
      <c r="C1160" s="20" t="s">
        <v>2366</v>
      </c>
      <c r="D1160" s="2">
        <v>10</v>
      </c>
      <c r="E1160" s="21"/>
      <c r="F1160" s="2">
        <f t="shared" si="24"/>
        <v>0</v>
      </c>
      <c r="G1160" s="3" t="str">
        <f>HYPERLINK("http://tmmp-catalog.com.ua/katalog/2/15057/","фото")</f>
        <v>фото</v>
      </c>
      <c r="H1160" s="22"/>
    </row>
    <row r="1161" spans="1:8" ht="15" x14ac:dyDescent="0.2">
      <c r="A1161" s="18">
        <v>2000000014487</v>
      </c>
      <c r="B1161" s="19" t="s">
        <v>2367</v>
      </c>
      <c r="C1161" s="20" t="s">
        <v>2368</v>
      </c>
      <c r="D1161" s="2">
        <v>8</v>
      </c>
      <c r="E1161" s="21"/>
      <c r="F1161" s="2">
        <f t="shared" si="24"/>
        <v>0</v>
      </c>
      <c r="G1161" s="3" t="str">
        <f>HYPERLINK("http://tmmp-catalog.com.ua/katalog/2/15060/","фото")</f>
        <v>фото</v>
      </c>
      <c r="H1161" s="22"/>
    </row>
    <row r="1162" spans="1:8" ht="15" x14ac:dyDescent="0.2">
      <c r="A1162" s="18">
        <v>2000000014494</v>
      </c>
      <c r="B1162" s="19" t="s">
        <v>2369</v>
      </c>
      <c r="C1162" s="20" t="s">
        <v>2370</v>
      </c>
      <c r="D1162" s="2">
        <v>12</v>
      </c>
      <c r="E1162" s="21"/>
      <c r="F1162" s="2">
        <f t="shared" si="24"/>
        <v>0</v>
      </c>
      <c r="G1162" s="3" t="str">
        <f>HYPERLINK("http://tmmp-catalog.com.ua/katalog/2/15061/","фото")</f>
        <v>фото</v>
      </c>
      <c r="H1162" s="22"/>
    </row>
    <row r="1163" spans="1:8" ht="15" x14ac:dyDescent="0.2">
      <c r="A1163" s="18">
        <v>2000000000701</v>
      </c>
      <c r="B1163" s="19" t="s">
        <v>2371</v>
      </c>
      <c r="C1163" s="20" t="s">
        <v>2372</v>
      </c>
      <c r="D1163" s="2">
        <v>5</v>
      </c>
      <c r="E1163" s="21"/>
      <c r="F1163" s="2">
        <f t="shared" si="24"/>
        <v>0</v>
      </c>
      <c r="G1163" s="3" t="str">
        <f>HYPERLINK("http://tmmp-catalog.com.ua/katalog/1/14689/","фото")</f>
        <v>фото</v>
      </c>
      <c r="H1163" s="22"/>
    </row>
    <row r="1164" spans="1:8" ht="15" x14ac:dyDescent="0.2">
      <c r="A1164" s="18">
        <v>2000000000688</v>
      </c>
      <c r="B1164" s="19" t="s">
        <v>2373</v>
      </c>
      <c r="C1164" s="20" t="s">
        <v>2374</v>
      </c>
      <c r="D1164" s="2">
        <v>5</v>
      </c>
      <c r="E1164" s="21"/>
      <c r="F1164" s="2">
        <f t="shared" ref="F1164:F1208" si="25">cena*zakaz</f>
        <v>0</v>
      </c>
      <c r="G1164" s="3" t="str">
        <f>HYPERLINK("http://tmmp-catalog.com.ua/katalog/1/14687/","фото")</f>
        <v>фото</v>
      </c>
      <c r="H1164" s="22"/>
    </row>
    <row r="1165" spans="1:8" ht="15" x14ac:dyDescent="0.2">
      <c r="A1165" s="18">
        <v>2000000000695</v>
      </c>
      <c r="B1165" s="19" t="s">
        <v>2375</v>
      </c>
      <c r="C1165" s="20" t="s">
        <v>2376</v>
      </c>
      <c r="D1165" s="2">
        <v>11</v>
      </c>
      <c r="E1165" s="21"/>
      <c r="F1165" s="2">
        <f t="shared" si="25"/>
        <v>0</v>
      </c>
      <c r="G1165" s="3" t="str">
        <f>HYPERLINK("http://tmmp-catalog.com.ua/katalog/1/14688/","фото")</f>
        <v>фото</v>
      </c>
      <c r="H1165" s="22"/>
    </row>
    <row r="1166" spans="1:8" ht="15" x14ac:dyDescent="0.2">
      <c r="A1166" s="18">
        <v>2000000012803</v>
      </c>
      <c r="B1166" s="19" t="s">
        <v>2377</v>
      </c>
      <c r="C1166" s="20" t="s">
        <v>2378</v>
      </c>
      <c r="D1166" s="2">
        <v>2.1</v>
      </c>
      <c r="E1166" s="21"/>
      <c r="F1166" s="2">
        <f t="shared" si="25"/>
        <v>0</v>
      </c>
      <c r="G1166" s="3" t="str">
        <f>HYPERLINK("http://tmmp-catalog.com.ua/katalog/2/14887/","фото")</f>
        <v>фото</v>
      </c>
      <c r="H1166" s="22"/>
    </row>
    <row r="1167" spans="1:8" ht="15" x14ac:dyDescent="0.2">
      <c r="A1167" s="18">
        <v>2000000012810</v>
      </c>
      <c r="B1167" s="19" t="s">
        <v>2379</v>
      </c>
      <c r="C1167" s="20" t="s">
        <v>2380</v>
      </c>
      <c r="D1167" s="2">
        <v>3.3</v>
      </c>
      <c r="E1167" s="21"/>
      <c r="F1167" s="2">
        <f t="shared" si="25"/>
        <v>0</v>
      </c>
      <c r="G1167" s="3" t="str">
        <f>HYPERLINK("http://tmmp-catalog.com.ua/katalog/2/14888/","фото")</f>
        <v>фото</v>
      </c>
      <c r="H1167" s="22"/>
    </row>
    <row r="1168" spans="1:8" ht="15" x14ac:dyDescent="0.2">
      <c r="A1168" s="18">
        <v>2000000012827</v>
      </c>
      <c r="B1168" s="19" t="s">
        <v>2381</v>
      </c>
      <c r="C1168" s="20" t="s">
        <v>2382</v>
      </c>
      <c r="D1168" s="2">
        <v>2.6</v>
      </c>
      <c r="E1168" s="21"/>
      <c r="F1168" s="2">
        <f t="shared" si="25"/>
        <v>0</v>
      </c>
      <c r="G1168" s="3" t="str">
        <f>HYPERLINK("http://tmmp-catalog.com.ua/katalog/2/14889/","фото")</f>
        <v>фото</v>
      </c>
      <c r="H1168" s="22"/>
    </row>
    <row r="1169" spans="1:8" ht="15" x14ac:dyDescent="0.2">
      <c r="A1169" s="18">
        <v>2000000012834</v>
      </c>
      <c r="B1169" s="19" t="s">
        <v>2383</v>
      </c>
      <c r="C1169" s="20" t="s">
        <v>2384</v>
      </c>
      <c r="D1169" s="2">
        <v>5.5</v>
      </c>
      <c r="E1169" s="21"/>
      <c r="F1169" s="2">
        <f t="shared" si="25"/>
        <v>0</v>
      </c>
      <c r="G1169" s="3" t="str">
        <f>HYPERLINK("http://tmmp-catalog.com.ua/katalog/2/14890/","фото")</f>
        <v>фото</v>
      </c>
      <c r="H1169" s="22"/>
    </row>
    <row r="1170" spans="1:8" ht="15" x14ac:dyDescent="0.2">
      <c r="A1170" s="18">
        <v>2000000015019</v>
      </c>
      <c r="B1170" s="19" t="s">
        <v>2385</v>
      </c>
      <c r="C1170" s="20" t="s">
        <v>2386</v>
      </c>
      <c r="D1170" s="2">
        <v>0.3</v>
      </c>
      <c r="E1170" s="21"/>
      <c r="F1170" s="2">
        <f t="shared" si="25"/>
        <v>0</v>
      </c>
      <c r="G1170" s="3" t="str">
        <f>HYPERLINK("http://tmmp-catalog.com.ua/katalog/2/16634/","фото")</f>
        <v>фото</v>
      </c>
      <c r="H1170" s="22"/>
    </row>
    <row r="1171" spans="1:8" ht="15" x14ac:dyDescent="0.2">
      <c r="A1171" s="18"/>
      <c r="B1171" s="19" t="s">
        <v>2387</v>
      </c>
      <c r="C1171" s="20" t="s">
        <v>2388</v>
      </c>
      <c r="D1171" s="2">
        <v>0.3</v>
      </c>
      <c r="E1171" s="21"/>
      <c r="F1171" s="2">
        <f t="shared" si="25"/>
        <v>0</v>
      </c>
      <c r="G1171" s="3"/>
      <c r="H1171" s="22"/>
    </row>
    <row r="1172" spans="1:8" ht="15" x14ac:dyDescent="0.2">
      <c r="A1172" s="18">
        <v>2000000001616</v>
      </c>
      <c r="B1172" s="19" t="s">
        <v>2389</v>
      </c>
      <c r="C1172" s="20" t="s">
        <v>2390</v>
      </c>
      <c r="D1172" s="2">
        <v>3.3</v>
      </c>
      <c r="E1172" s="21"/>
      <c r="F1172" s="2">
        <f t="shared" si="25"/>
        <v>0</v>
      </c>
      <c r="G1172" s="3" t="str">
        <f>HYPERLINK("http://tmmp-catalog.com.ua/katalog/1/14783/","фото")</f>
        <v>фото</v>
      </c>
      <c r="H1172" s="22"/>
    </row>
    <row r="1173" spans="1:8" ht="15" x14ac:dyDescent="0.2">
      <c r="A1173" s="18">
        <v>2000000014555</v>
      </c>
      <c r="B1173" s="19" t="s">
        <v>2391</v>
      </c>
      <c r="C1173" s="20" t="s">
        <v>2392</v>
      </c>
      <c r="D1173" s="2">
        <v>1.6</v>
      </c>
      <c r="E1173" s="21"/>
      <c r="F1173" s="2">
        <f t="shared" si="25"/>
        <v>0</v>
      </c>
      <c r="G1173" s="3" t="str">
        <f>HYPERLINK("http://tmmp-catalog.com.ua/katalog/2/15068/","фото")</f>
        <v>фото</v>
      </c>
      <c r="H1173" s="22"/>
    </row>
    <row r="1174" spans="1:8" ht="15" x14ac:dyDescent="0.2">
      <c r="A1174" s="18">
        <v>2000000014562</v>
      </c>
      <c r="B1174" s="19" t="s">
        <v>2393</v>
      </c>
      <c r="C1174" s="20" t="s">
        <v>2394</v>
      </c>
      <c r="D1174" s="2">
        <v>1.6</v>
      </c>
      <c r="E1174" s="21"/>
      <c r="F1174" s="2">
        <f t="shared" si="25"/>
        <v>0</v>
      </c>
      <c r="G1174" s="3" t="str">
        <f>HYPERLINK("http://tmmp-catalog.com.ua/katalog/2/15069/","фото")</f>
        <v>фото</v>
      </c>
      <c r="H1174" s="22"/>
    </row>
    <row r="1175" spans="1:8" ht="15" x14ac:dyDescent="0.2">
      <c r="A1175" s="18">
        <v>2000000001623</v>
      </c>
      <c r="B1175" s="19" t="s">
        <v>2395</v>
      </c>
      <c r="C1175" s="20" t="s">
        <v>2396</v>
      </c>
      <c r="D1175" s="2">
        <v>1.5</v>
      </c>
      <c r="E1175" s="21"/>
      <c r="F1175" s="2">
        <f t="shared" si="25"/>
        <v>0</v>
      </c>
      <c r="G1175" s="3" t="str">
        <f>HYPERLINK("http://tmmp-catalog.com.ua/katalog/1/14784/","фото")</f>
        <v>фото</v>
      </c>
      <c r="H1175" s="22"/>
    </row>
    <row r="1176" spans="1:8" ht="15" x14ac:dyDescent="0.2">
      <c r="A1176" s="18">
        <v>2000000015125</v>
      </c>
      <c r="B1176" s="19" t="s">
        <v>2397</v>
      </c>
      <c r="C1176" s="20" t="s">
        <v>2398</v>
      </c>
      <c r="D1176" s="2">
        <v>3</v>
      </c>
      <c r="E1176" s="21"/>
      <c r="F1176" s="2">
        <f t="shared" si="25"/>
        <v>0</v>
      </c>
      <c r="G1176" s="3" t="str">
        <f>HYPERLINK("http://tmmp-catalog.com.ua/katalog/2/16778/","фото")</f>
        <v>фото</v>
      </c>
      <c r="H1176" s="22"/>
    </row>
    <row r="1177" spans="1:8" ht="15" x14ac:dyDescent="0.2">
      <c r="A1177" s="18">
        <v>2000000014593</v>
      </c>
      <c r="B1177" s="19" t="s">
        <v>2399</v>
      </c>
      <c r="C1177" s="20" t="s">
        <v>2400</v>
      </c>
      <c r="D1177" s="2">
        <v>35</v>
      </c>
      <c r="E1177" s="21"/>
      <c r="F1177" s="2">
        <f t="shared" si="25"/>
        <v>0</v>
      </c>
      <c r="G1177" s="3" t="str">
        <f>HYPERLINK("http://tmmp-catalog.com.ua/katalog/2/15072/","фото")</f>
        <v>фото</v>
      </c>
      <c r="H1177" s="22"/>
    </row>
    <row r="1178" spans="1:8" ht="15" x14ac:dyDescent="0.2">
      <c r="A1178" s="18">
        <v>2000000014609</v>
      </c>
      <c r="B1178" s="19" t="s">
        <v>2401</v>
      </c>
      <c r="C1178" s="20" t="s">
        <v>2402</v>
      </c>
      <c r="D1178" s="2">
        <v>16</v>
      </c>
      <c r="E1178" s="21"/>
      <c r="F1178" s="2">
        <f t="shared" si="25"/>
        <v>0</v>
      </c>
      <c r="G1178" s="3" t="str">
        <f>HYPERLINK("http://tmmp-catalog.com.ua/katalog/2/15073/","фото")</f>
        <v>фото</v>
      </c>
      <c r="H1178" s="22"/>
    </row>
    <row r="1179" spans="1:8" ht="15" x14ac:dyDescent="0.2">
      <c r="A1179" s="18"/>
      <c r="B1179" s="19" t="s">
        <v>2403</v>
      </c>
      <c r="C1179" s="20" t="s">
        <v>2404</v>
      </c>
      <c r="D1179" s="2">
        <v>11.9</v>
      </c>
      <c r="E1179" s="21"/>
      <c r="F1179" s="2">
        <f t="shared" si="25"/>
        <v>0</v>
      </c>
      <c r="G1179" s="3" t="str">
        <f>HYPERLINK("http://tmmp-catalog.com.ua/katalog/37/18544/","фото")</f>
        <v>фото</v>
      </c>
      <c r="H1179" s="22"/>
    </row>
    <row r="1180" spans="1:8" ht="15" x14ac:dyDescent="0.2">
      <c r="A1180" s="18">
        <v>2000000001647</v>
      </c>
      <c r="B1180" s="19" t="s">
        <v>2405</v>
      </c>
      <c r="C1180" s="20" t="s">
        <v>2406</v>
      </c>
      <c r="D1180" s="2">
        <v>19</v>
      </c>
      <c r="E1180" s="21"/>
      <c r="F1180" s="2">
        <f t="shared" si="25"/>
        <v>0</v>
      </c>
      <c r="G1180" s="3" t="str">
        <f>HYPERLINK("http://tmmp-catalog.com.ua/katalog/1/14786/","фото")</f>
        <v>фото</v>
      </c>
      <c r="H1180" s="22"/>
    </row>
    <row r="1181" spans="1:8" ht="15" x14ac:dyDescent="0.2">
      <c r="A1181" s="18">
        <v>2000000001654</v>
      </c>
      <c r="B1181" s="19" t="s">
        <v>2407</v>
      </c>
      <c r="C1181" s="20" t="s">
        <v>2408</v>
      </c>
      <c r="D1181" s="2">
        <v>20</v>
      </c>
      <c r="E1181" s="21"/>
      <c r="F1181" s="2">
        <f t="shared" si="25"/>
        <v>0</v>
      </c>
      <c r="G1181" s="3" t="str">
        <f>HYPERLINK("http://tmmp-catalog.com.ua/katalog/1/14787/","фото")</f>
        <v>фото</v>
      </c>
      <c r="H1181" s="22"/>
    </row>
    <row r="1182" spans="1:8" ht="15" x14ac:dyDescent="0.2">
      <c r="A1182" s="18">
        <v>2000000014616</v>
      </c>
      <c r="B1182" s="19" t="s">
        <v>2409</v>
      </c>
      <c r="C1182" s="20" t="s">
        <v>2410</v>
      </c>
      <c r="D1182" s="2">
        <v>15.5</v>
      </c>
      <c r="E1182" s="21"/>
      <c r="F1182" s="2">
        <f t="shared" si="25"/>
        <v>0</v>
      </c>
      <c r="G1182" s="3" t="str">
        <f>HYPERLINK("http://tmmp-catalog.com.ua/katalog/2/15074/","фото")</f>
        <v>фото</v>
      </c>
      <c r="H1182" s="22"/>
    </row>
    <row r="1183" spans="1:8" ht="15" x14ac:dyDescent="0.2">
      <c r="A1183" s="18">
        <v>2000000014623</v>
      </c>
      <c r="B1183" s="19" t="s">
        <v>2411</v>
      </c>
      <c r="C1183" s="20" t="s">
        <v>2412</v>
      </c>
      <c r="D1183" s="2">
        <v>14.5</v>
      </c>
      <c r="E1183" s="21"/>
      <c r="F1183" s="2">
        <f t="shared" si="25"/>
        <v>0</v>
      </c>
      <c r="G1183" s="3" t="str">
        <f>HYPERLINK("http://tmmp-catalog.com.ua/katalog/2/15075/","фото")</f>
        <v>фото</v>
      </c>
      <c r="H1183" s="22"/>
    </row>
    <row r="1184" spans="1:8" ht="15" x14ac:dyDescent="0.2">
      <c r="A1184" s="18"/>
      <c r="B1184" s="19" t="s">
        <v>2413</v>
      </c>
      <c r="C1184" s="20" t="s">
        <v>2414</v>
      </c>
      <c r="D1184" s="2">
        <v>12</v>
      </c>
      <c r="E1184" s="21"/>
      <c r="F1184" s="2">
        <f t="shared" si="25"/>
        <v>0</v>
      </c>
      <c r="G1184" s="3" t="str">
        <f>HYPERLINK("http://tmmp-catalog.com.ua/katalog/37/18658/","фото")</f>
        <v>фото</v>
      </c>
      <c r="H1184" s="22"/>
    </row>
    <row r="1185" spans="1:8" ht="15" x14ac:dyDescent="0.2">
      <c r="A1185" s="18">
        <v>2000000014647</v>
      </c>
      <c r="B1185" s="19" t="s">
        <v>2415</v>
      </c>
      <c r="C1185" s="20" t="s">
        <v>2416</v>
      </c>
      <c r="D1185" s="2">
        <v>14</v>
      </c>
      <c r="E1185" s="21"/>
      <c r="F1185" s="2">
        <f t="shared" si="25"/>
        <v>0</v>
      </c>
      <c r="G1185" s="3" t="str">
        <f>HYPERLINK("http://tmmp-catalog.com.ua/katalog/2/15077/","фото")</f>
        <v>фото</v>
      </c>
      <c r="H1185" s="22"/>
    </row>
    <row r="1186" spans="1:8" ht="15" x14ac:dyDescent="0.2">
      <c r="A1186" s="18">
        <v>2000000014654</v>
      </c>
      <c r="B1186" s="19" t="s">
        <v>2417</v>
      </c>
      <c r="C1186" s="20" t="s">
        <v>2418</v>
      </c>
      <c r="D1186" s="2">
        <v>16</v>
      </c>
      <c r="E1186" s="21"/>
      <c r="F1186" s="2">
        <f t="shared" si="25"/>
        <v>0</v>
      </c>
      <c r="G1186" s="3" t="str">
        <f>HYPERLINK("http://tmmp-catalog.com.ua/katalog/2/15078/","фото")</f>
        <v>фото</v>
      </c>
      <c r="H1186" s="22"/>
    </row>
    <row r="1187" spans="1:8" ht="15" x14ac:dyDescent="0.2">
      <c r="A1187" s="18"/>
      <c r="B1187" s="19" t="s">
        <v>2419</v>
      </c>
      <c r="C1187" s="20" t="s">
        <v>2420</v>
      </c>
      <c r="D1187" s="2">
        <v>2.4</v>
      </c>
      <c r="E1187" s="21"/>
      <c r="F1187" s="2">
        <f t="shared" si="25"/>
        <v>0</v>
      </c>
      <c r="G1187" s="3" t="str">
        <f>HYPERLINK("http://tmmp-catalog.com.ua/katalog/1/18745/","фото")</f>
        <v>фото</v>
      </c>
      <c r="H1187" s="22"/>
    </row>
    <row r="1188" spans="1:8" ht="15" x14ac:dyDescent="0.2">
      <c r="A1188" s="18"/>
      <c r="B1188" s="19" t="s">
        <v>2421</v>
      </c>
      <c r="C1188" s="20" t="s">
        <v>2422</v>
      </c>
      <c r="D1188" s="2">
        <v>3.7</v>
      </c>
      <c r="E1188" s="21"/>
      <c r="F1188" s="2">
        <f t="shared" si="25"/>
        <v>0</v>
      </c>
      <c r="G1188" s="3" t="str">
        <f>HYPERLINK("http://tmmp-catalog.com.ua/katalog/35/18231/","фото")</f>
        <v>фото</v>
      </c>
      <c r="H1188" s="22"/>
    </row>
    <row r="1189" spans="1:8" ht="15" x14ac:dyDescent="0.2">
      <c r="A1189" s="18">
        <v>2000000014661</v>
      </c>
      <c r="B1189" s="19" t="s">
        <v>2423</v>
      </c>
      <c r="C1189" s="20" t="s">
        <v>2424</v>
      </c>
      <c r="D1189" s="2">
        <v>3</v>
      </c>
      <c r="E1189" s="21"/>
      <c r="F1189" s="2">
        <f t="shared" si="25"/>
        <v>0</v>
      </c>
      <c r="G1189" s="3" t="str">
        <f>HYPERLINK("http://tmmp-catalog.com.ua/katalog/2/15079/","фото")</f>
        <v>фото</v>
      </c>
      <c r="H1189" s="22"/>
    </row>
    <row r="1190" spans="1:8" ht="15" x14ac:dyDescent="0.2">
      <c r="A1190" s="18"/>
      <c r="B1190" s="19" t="s">
        <v>2425</v>
      </c>
      <c r="C1190" s="20" t="s">
        <v>2426</v>
      </c>
      <c r="D1190" s="2">
        <v>3.2</v>
      </c>
      <c r="E1190" s="21"/>
      <c r="F1190" s="2">
        <f t="shared" si="25"/>
        <v>0</v>
      </c>
      <c r="G1190" s="3" t="str">
        <f>HYPERLINK("http://tmmp-catalog.com.ua/katalog/35/18236/","фото")</f>
        <v>фото</v>
      </c>
      <c r="H1190" s="22"/>
    </row>
    <row r="1191" spans="1:8" ht="15" x14ac:dyDescent="0.2">
      <c r="A1191" s="18">
        <v>2000000014678</v>
      </c>
      <c r="B1191" s="19" t="s">
        <v>2427</v>
      </c>
      <c r="C1191" s="20" t="s">
        <v>2428</v>
      </c>
      <c r="D1191" s="2">
        <v>3.5</v>
      </c>
      <c r="E1191" s="21"/>
      <c r="F1191" s="2">
        <f t="shared" si="25"/>
        <v>0</v>
      </c>
      <c r="G1191" s="3" t="str">
        <f>HYPERLINK("http://tmmp-catalog.com.ua/katalog/2/15080/","фото")</f>
        <v>фото</v>
      </c>
      <c r="H1191" s="22"/>
    </row>
    <row r="1192" spans="1:8" ht="15" x14ac:dyDescent="0.2">
      <c r="A1192" s="18">
        <v>2000000014685</v>
      </c>
      <c r="B1192" s="19" t="s">
        <v>2429</v>
      </c>
      <c r="C1192" s="20" t="s">
        <v>2430</v>
      </c>
      <c r="D1192" s="2">
        <v>3</v>
      </c>
      <c r="E1192" s="21"/>
      <c r="F1192" s="2">
        <f t="shared" si="25"/>
        <v>0</v>
      </c>
      <c r="G1192" s="3" t="str">
        <f>HYPERLINK("http://tmmp-catalog.com.ua/katalog/2/15081/","фото")</f>
        <v>фото</v>
      </c>
      <c r="H1192" s="22"/>
    </row>
    <row r="1193" spans="1:8" ht="15" x14ac:dyDescent="0.2">
      <c r="A1193" s="18"/>
      <c r="B1193" s="19" t="s">
        <v>2431</v>
      </c>
      <c r="C1193" s="20" t="s">
        <v>2432</v>
      </c>
      <c r="D1193" s="2">
        <v>0.6</v>
      </c>
      <c r="E1193" s="21"/>
      <c r="F1193" s="2">
        <f t="shared" si="25"/>
        <v>0</v>
      </c>
      <c r="G1193" s="3" t="str">
        <f>HYPERLINK("http://tmmp-catalog.com.ua/katalog/37/18551/","фото")</f>
        <v>фото</v>
      </c>
      <c r="H1193" s="22"/>
    </row>
    <row r="1194" spans="1:8" ht="15" x14ac:dyDescent="0.2">
      <c r="A1194" s="18">
        <v>2000000014807</v>
      </c>
      <c r="B1194" s="19" t="s">
        <v>2433</v>
      </c>
      <c r="C1194" s="20" t="s">
        <v>2434</v>
      </c>
      <c r="D1194" s="2">
        <v>1.3</v>
      </c>
      <c r="E1194" s="21"/>
      <c r="F1194" s="2">
        <f t="shared" si="25"/>
        <v>0</v>
      </c>
      <c r="G1194" s="3" t="str">
        <f>HYPERLINK("http://tmmp-catalog.com.ua/katalog/2/16538/","фото")</f>
        <v>фото</v>
      </c>
      <c r="H1194" s="22"/>
    </row>
    <row r="1195" spans="1:8" ht="15" x14ac:dyDescent="0.2">
      <c r="A1195" s="18">
        <v>2000000014708</v>
      </c>
      <c r="B1195" s="19" t="s">
        <v>2435</v>
      </c>
      <c r="C1195" s="20" t="s">
        <v>2436</v>
      </c>
      <c r="D1195" s="2">
        <v>2</v>
      </c>
      <c r="E1195" s="21"/>
      <c r="F1195" s="2">
        <f t="shared" si="25"/>
        <v>0</v>
      </c>
      <c r="G1195" s="3" t="str">
        <f>HYPERLINK("http://tmmp-catalog.com.ua/katalog/2/15083/","фото")</f>
        <v>фото</v>
      </c>
      <c r="H1195" s="22"/>
    </row>
    <row r="1196" spans="1:8" ht="15" x14ac:dyDescent="0.2">
      <c r="A1196" s="18"/>
      <c r="B1196" s="19" t="s">
        <v>2437</v>
      </c>
      <c r="C1196" s="20" t="s">
        <v>2438</v>
      </c>
      <c r="D1196" s="2">
        <v>0.3</v>
      </c>
      <c r="E1196" s="21"/>
      <c r="F1196" s="2">
        <f t="shared" si="25"/>
        <v>0</v>
      </c>
      <c r="G1196" s="3" t="str">
        <f>HYPERLINK("http://tmmp-catalog.com.ua/katalog/37/18554/","фото")</f>
        <v>фото</v>
      </c>
      <c r="H1196" s="22"/>
    </row>
    <row r="1197" spans="1:8" ht="15" x14ac:dyDescent="0.2">
      <c r="A1197" s="18">
        <v>2000000014722</v>
      </c>
      <c r="B1197" s="19" t="s">
        <v>2439</v>
      </c>
      <c r="C1197" s="20" t="s">
        <v>2440</v>
      </c>
      <c r="D1197" s="2">
        <v>0.25</v>
      </c>
      <c r="E1197" s="21"/>
      <c r="F1197" s="2">
        <f t="shared" si="25"/>
        <v>0</v>
      </c>
      <c r="G1197" s="3" t="str">
        <f>HYPERLINK("http://tmmp-catalog.com.ua/katalog/2/15085/","фото")</f>
        <v>фото</v>
      </c>
      <c r="H1197" s="22"/>
    </row>
    <row r="1198" spans="1:8" ht="15" x14ac:dyDescent="0.2">
      <c r="A1198" s="18">
        <v>2000000001708</v>
      </c>
      <c r="B1198" s="19" t="s">
        <v>2441</v>
      </c>
      <c r="C1198" s="20" t="s">
        <v>2442</v>
      </c>
      <c r="D1198" s="2">
        <v>1.3</v>
      </c>
      <c r="E1198" s="21"/>
      <c r="F1198" s="2">
        <f t="shared" si="25"/>
        <v>0</v>
      </c>
      <c r="G1198" s="3" t="str">
        <f>HYPERLINK("http://tmmp-catalog.com.ua/katalog/1/14792/","фото")</f>
        <v>фото</v>
      </c>
      <c r="H1198" s="22"/>
    </row>
    <row r="1199" spans="1:8" ht="15" x14ac:dyDescent="0.2">
      <c r="A1199" s="18">
        <v>2000000014739</v>
      </c>
      <c r="B1199" s="19" t="s">
        <v>2443</v>
      </c>
      <c r="C1199" s="20" t="s">
        <v>2444</v>
      </c>
      <c r="D1199" s="2">
        <v>1.5</v>
      </c>
      <c r="E1199" s="21"/>
      <c r="F1199" s="2">
        <f t="shared" si="25"/>
        <v>0</v>
      </c>
      <c r="G1199" s="3" t="str">
        <f>HYPERLINK("http://tmmp-catalog.com.ua/katalog/2/15086/","фото")</f>
        <v>фото</v>
      </c>
      <c r="H1199" s="22"/>
    </row>
    <row r="1200" spans="1:8" ht="15" x14ac:dyDescent="0.2">
      <c r="A1200" s="18">
        <v>2000000014746</v>
      </c>
      <c r="B1200" s="19" t="s">
        <v>2445</v>
      </c>
      <c r="C1200" s="20" t="s">
        <v>2446</v>
      </c>
      <c r="D1200" s="2">
        <v>0.1</v>
      </c>
      <c r="E1200" s="21"/>
      <c r="F1200" s="2">
        <f t="shared" si="25"/>
        <v>0</v>
      </c>
      <c r="G1200" s="3" t="str">
        <f>HYPERLINK("http://tmmp-catalog.com.ua/katalog/2/15087/","фото")</f>
        <v>фото</v>
      </c>
      <c r="H1200" s="22"/>
    </row>
    <row r="1201" spans="1:8" ht="15" x14ac:dyDescent="0.2">
      <c r="A1201" s="18">
        <v>2000000000169</v>
      </c>
      <c r="B1201" s="19" t="s">
        <v>2447</v>
      </c>
      <c r="C1201" s="20" t="s">
        <v>2448</v>
      </c>
      <c r="D1201" s="2">
        <v>2.2999999999999998</v>
      </c>
      <c r="E1201" s="21"/>
      <c r="F1201" s="2">
        <f t="shared" si="25"/>
        <v>0</v>
      </c>
      <c r="G1201" s="3" t="str">
        <f>HYPERLINK("http://tmmp-catalog.com.ua/katalog/1/14635/","фото")</f>
        <v>фото</v>
      </c>
      <c r="H1201" s="22"/>
    </row>
    <row r="1202" spans="1:8" ht="15" x14ac:dyDescent="0.2">
      <c r="A1202" s="18">
        <v>2000000001715</v>
      </c>
      <c r="B1202" s="19" t="s">
        <v>2449</v>
      </c>
      <c r="C1202" s="20" t="s">
        <v>2450</v>
      </c>
      <c r="D1202" s="2">
        <v>0.2</v>
      </c>
      <c r="E1202" s="21"/>
      <c r="F1202" s="2">
        <f t="shared" si="25"/>
        <v>0</v>
      </c>
      <c r="G1202" s="3" t="str">
        <f>HYPERLINK("http://tmmp-catalog.com.ua/katalog/1/14793/","фото")</f>
        <v>фото</v>
      </c>
      <c r="H1202" s="22"/>
    </row>
    <row r="1203" spans="1:8" ht="15" x14ac:dyDescent="0.2">
      <c r="A1203" s="18">
        <v>2000000014760</v>
      </c>
      <c r="B1203" s="19" t="s">
        <v>2451</v>
      </c>
      <c r="C1203" s="20" t="s">
        <v>2452</v>
      </c>
      <c r="D1203" s="2">
        <v>0.2</v>
      </c>
      <c r="E1203" s="21"/>
      <c r="F1203" s="2">
        <f t="shared" si="25"/>
        <v>0</v>
      </c>
      <c r="G1203" s="3" t="str">
        <f>HYPERLINK("http://tmmp-catalog.com.ua/katalog/2/15090/","фото")</f>
        <v>фото</v>
      </c>
      <c r="H1203" s="22"/>
    </row>
    <row r="1204" spans="1:8" ht="15" x14ac:dyDescent="0.2">
      <c r="A1204" s="18">
        <v>2000000001739</v>
      </c>
      <c r="B1204" s="19" t="s">
        <v>2453</v>
      </c>
      <c r="C1204" s="20" t="s">
        <v>2454</v>
      </c>
      <c r="D1204" s="2">
        <v>0.55000000000000004</v>
      </c>
      <c r="E1204" s="21"/>
      <c r="F1204" s="2">
        <f t="shared" si="25"/>
        <v>0</v>
      </c>
      <c r="G1204" s="3" t="str">
        <f>HYPERLINK("http://tmmp-catalog.com.ua/katalog/1/14795/","фото")</f>
        <v>фото</v>
      </c>
      <c r="H1204" s="22"/>
    </row>
    <row r="1205" spans="1:8" ht="15" x14ac:dyDescent="0.2">
      <c r="A1205" s="18">
        <v>2000000001722</v>
      </c>
      <c r="B1205" s="19" t="s">
        <v>2455</v>
      </c>
      <c r="C1205" s="20" t="s">
        <v>2456</v>
      </c>
      <c r="D1205" s="2">
        <v>1.4</v>
      </c>
      <c r="E1205" s="21"/>
      <c r="F1205" s="2">
        <f t="shared" si="25"/>
        <v>0</v>
      </c>
      <c r="G1205" s="3" t="str">
        <f>HYPERLINK("http://tmmp-catalog.com.ua/katalog/1/14794/","фото")</f>
        <v>фото</v>
      </c>
      <c r="H1205" s="22"/>
    </row>
    <row r="1206" spans="1:8" ht="15" x14ac:dyDescent="0.2">
      <c r="A1206" s="18">
        <v>2000000014524</v>
      </c>
      <c r="B1206" s="19" t="s">
        <v>2457</v>
      </c>
      <c r="C1206" s="20" t="s">
        <v>2458</v>
      </c>
      <c r="D1206" s="2">
        <v>0.9</v>
      </c>
      <c r="E1206" s="21"/>
      <c r="F1206" s="2">
        <f t="shared" si="25"/>
        <v>0</v>
      </c>
      <c r="G1206" s="3" t="str">
        <f>HYPERLINK("http://tmmp-catalog.com.ua/katalog/2/15065/","фото")</f>
        <v>фото</v>
      </c>
      <c r="H1206" s="22"/>
    </row>
    <row r="1207" spans="1:8" ht="15" x14ac:dyDescent="0.2">
      <c r="A1207" s="18">
        <v>2000000014531</v>
      </c>
      <c r="B1207" s="19" t="s">
        <v>2459</v>
      </c>
      <c r="C1207" s="20" t="s">
        <v>2460</v>
      </c>
      <c r="D1207" s="2">
        <v>0.9</v>
      </c>
      <c r="E1207" s="21"/>
      <c r="F1207" s="2">
        <f t="shared" si="25"/>
        <v>0</v>
      </c>
      <c r="G1207" s="3" t="str">
        <f>HYPERLINK("http://tmmp-catalog.com.ua/katalog/2/15066/","фото")</f>
        <v>фото</v>
      </c>
      <c r="H1207" s="22"/>
    </row>
    <row r="1208" spans="1:8" ht="15" x14ac:dyDescent="0.2">
      <c r="A1208" s="18"/>
      <c r="B1208" s="19" t="s">
        <v>2461</v>
      </c>
      <c r="C1208" s="20" t="s">
        <v>2462</v>
      </c>
      <c r="D1208" s="2">
        <v>0.8</v>
      </c>
      <c r="E1208" s="21"/>
      <c r="F1208" s="2">
        <f t="shared" si="25"/>
        <v>0</v>
      </c>
      <c r="G1208" s="3" t="str">
        <f>HYPERLINK("http://tmmp-catalog.com.ua/katalog/2/18067/","фото")</f>
        <v>фото</v>
      </c>
      <c r="H1208" s="22"/>
    </row>
    <row r="1209" spans="1:8" ht="23.25" x14ac:dyDescent="0.2">
      <c r="A1209" s="18"/>
      <c r="B1209" s="51"/>
      <c r="C1209" s="56" t="s">
        <v>3</v>
      </c>
      <c r="D1209" s="52"/>
      <c r="E1209" s="53"/>
      <c r="F1209" s="52"/>
      <c r="G1209" s="54"/>
      <c r="H1209" s="55"/>
    </row>
    <row r="1210" spans="1:8" ht="15" x14ac:dyDescent="0.2">
      <c r="A1210" s="18"/>
      <c r="B1210" s="19" t="s">
        <v>2463</v>
      </c>
      <c r="C1210" s="20" t="s">
        <v>2464</v>
      </c>
      <c r="D1210" s="2">
        <v>16.5</v>
      </c>
      <c r="E1210" s="21"/>
      <c r="F1210" s="2">
        <f t="shared" ref="F1210:F1241" si="26">cena*zakaz</f>
        <v>0</v>
      </c>
      <c r="G1210" s="3" t="str">
        <f>HYPERLINK("http://tmmp-catalog.com.ua/katalog/11/17284/","фото")</f>
        <v>фото</v>
      </c>
      <c r="H1210" s="22"/>
    </row>
    <row r="1211" spans="1:8" ht="15" x14ac:dyDescent="0.2">
      <c r="A1211" s="18"/>
      <c r="B1211" s="19" t="s">
        <v>2465</v>
      </c>
      <c r="C1211" s="20" t="s">
        <v>2466</v>
      </c>
      <c r="D1211" s="2">
        <v>12</v>
      </c>
      <c r="E1211" s="21"/>
      <c r="F1211" s="2">
        <f t="shared" si="26"/>
        <v>0</v>
      </c>
      <c r="G1211" s="3" t="str">
        <f>HYPERLINK("http://tmmp-catalog.com.ua/katalog/11/17325/","фото")</f>
        <v>фото</v>
      </c>
      <c r="H1211" s="22"/>
    </row>
    <row r="1212" spans="1:8" ht="15" x14ac:dyDescent="0.2">
      <c r="A1212" s="18">
        <v>2000000003184</v>
      </c>
      <c r="B1212" s="19" t="s">
        <v>2467</v>
      </c>
      <c r="C1212" s="20" t="s">
        <v>2468</v>
      </c>
      <c r="D1212" s="2">
        <v>125</v>
      </c>
      <c r="E1212" s="21"/>
      <c r="F1212" s="2">
        <f t="shared" si="26"/>
        <v>0</v>
      </c>
      <c r="G1212" s="3" t="str">
        <f>HYPERLINK("http://tmmp-catalog.com.ua/katalog/11/15239/","фото")</f>
        <v>фото</v>
      </c>
      <c r="H1212" s="22"/>
    </row>
    <row r="1213" spans="1:8" ht="15" x14ac:dyDescent="0.2">
      <c r="A1213" s="18">
        <v>2000000003191</v>
      </c>
      <c r="B1213" s="19" t="s">
        <v>2469</v>
      </c>
      <c r="C1213" s="20" t="s">
        <v>2470</v>
      </c>
      <c r="D1213" s="2">
        <v>130</v>
      </c>
      <c r="E1213" s="21"/>
      <c r="F1213" s="2">
        <f t="shared" si="26"/>
        <v>0</v>
      </c>
      <c r="G1213" s="3" t="str">
        <f>HYPERLINK("http://tmmp-catalog.com.ua/katalog/11/15240/","фото")</f>
        <v>фото</v>
      </c>
      <c r="H1213" s="22"/>
    </row>
    <row r="1214" spans="1:8" ht="15" x14ac:dyDescent="0.2">
      <c r="A1214" s="18">
        <v>2000000003160</v>
      </c>
      <c r="B1214" s="19" t="s">
        <v>2471</v>
      </c>
      <c r="C1214" s="20" t="s">
        <v>2472</v>
      </c>
      <c r="D1214" s="2">
        <v>125</v>
      </c>
      <c r="E1214" s="21"/>
      <c r="F1214" s="2">
        <f t="shared" si="26"/>
        <v>0</v>
      </c>
      <c r="G1214" s="3" t="str">
        <f>HYPERLINK("http://tmmp-catalog.com.ua/katalog/11/15237/","фото")</f>
        <v>фото</v>
      </c>
      <c r="H1214" s="22"/>
    </row>
    <row r="1215" spans="1:8" ht="15" x14ac:dyDescent="0.2">
      <c r="A1215" s="18">
        <v>2000000003177</v>
      </c>
      <c r="B1215" s="19" t="s">
        <v>2473</v>
      </c>
      <c r="C1215" s="20" t="s">
        <v>2474</v>
      </c>
      <c r="D1215" s="2">
        <v>130</v>
      </c>
      <c r="E1215" s="21"/>
      <c r="F1215" s="2">
        <f t="shared" si="26"/>
        <v>0</v>
      </c>
      <c r="G1215" s="3" t="str">
        <f>HYPERLINK("http://tmmp-catalog.com.ua/katalog/11/15238/","фото")</f>
        <v>фото</v>
      </c>
      <c r="H1215" s="22"/>
    </row>
    <row r="1216" spans="1:8" ht="15" x14ac:dyDescent="0.2">
      <c r="A1216" s="18" t="s">
        <v>2475</v>
      </c>
      <c r="B1216" s="19" t="s">
        <v>2476</v>
      </c>
      <c r="C1216" s="20" t="s">
        <v>2477</v>
      </c>
      <c r="D1216" s="2">
        <v>90</v>
      </c>
      <c r="E1216" s="21"/>
      <c r="F1216" s="2">
        <f t="shared" si="26"/>
        <v>0</v>
      </c>
      <c r="G1216" s="3" t="str">
        <f>HYPERLINK("http://tmmp-catalog.com.ua/katalog/11/17275/","фото")</f>
        <v>фото</v>
      </c>
      <c r="H1216" s="22"/>
    </row>
    <row r="1217" spans="1:8" ht="15" x14ac:dyDescent="0.2">
      <c r="A1217" s="18"/>
      <c r="B1217" s="19" t="s">
        <v>2478</v>
      </c>
      <c r="C1217" s="20" t="s">
        <v>2479</v>
      </c>
      <c r="D1217" s="2">
        <v>95</v>
      </c>
      <c r="E1217" s="21"/>
      <c r="F1217" s="2">
        <f t="shared" si="26"/>
        <v>0</v>
      </c>
      <c r="G1217" s="3" t="str">
        <f>HYPERLINK("http://tmmp-catalog.com.ua/katalog/11/17268/","фото")</f>
        <v>фото</v>
      </c>
      <c r="H1217" s="22"/>
    </row>
    <row r="1218" spans="1:8" ht="15" x14ac:dyDescent="0.2">
      <c r="A1218" s="18"/>
      <c r="B1218" s="19" t="s">
        <v>2480</v>
      </c>
      <c r="C1218" s="20" t="s">
        <v>2481</v>
      </c>
      <c r="D1218" s="2">
        <v>0.35</v>
      </c>
      <c r="E1218" s="21"/>
      <c r="F1218" s="2">
        <f t="shared" si="26"/>
        <v>0</v>
      </c>
      <c r="G1218" s="3" t="str">
        <f>HYPERLINK("http://tmmp-catalog.com.ua/katalog/37/18284/","фото")</f>
        <v>фото</v>
      </c>
      <c r="H1218" s="22"/>
    </row>
    <row r="1219" spans="1:8" ht="15" x14ac:dyDescent="0.2">
      <c r="A1219" s="18">
        <v>2000000003207</v>
      </c>
      <c r="B1219" s="19" t="s">
        <v>2482</v>
      </c>
      <c r="C1219" s="20" t="s">
        <v>2483</v>
      </c>
      <c r="D1219" s="2">
        <v>4</v>
      </c>
      <c r="E1219" s="21"/>
      <c r="F1219" s="2">
        <f t="shared" si="26"/>
        <v>0</v>
      </c>
      <c r="G1219" s="3" t="str">
        <f>HYPERLINK("http://tmmp-catalog.com.ua/katalog/11/15241/","фото")</f>
        <v>фото</v>
      </c>
      <c r="H1219" s="22"/>
    </row>
    <row r="1220" spans="1:8" ht="15" x14ac:dyDescent="0.2">
      <c r="A1220" s="18"/>
      <c r="B1220" s="19" t="s">
        <v>2484</v>
      </c>
      <c r="C1220" s="20" t="s">
        <v>2485</v>
      </c>
      <c r="D1220" s="2">
        <v>9</v>
      </c>
      <c r="E1220" s="21"/>
      <c r="F1220" s="2">
        <f t="shared" si="26"/>
        <v>0</v>
      </c>
      <c r="G1220" s="3" t="str">
        <f>HYPERLINK("http://tmmp-catalog.com.ua/katalog/11/17713/","фото")</f>
        <v>фото</v>
      </c>
      <c r="H1220" s="22"/>
    </row>
    <row r="1221" spans="1:8" ht="15" x14ac:dyDescent="0.2">
      <c r="A1221" s="18">
        <v>2000000003214</v>
      </c>
      <c r="B1221" s="19" t="s">
        <v>2486</v>
      </c>
      <c r="C1221" s="20" t="s">
        <v>2487</v>
      </c>
      <c r="D1221" s="2">
        <v>1.2</v>
      </c>
      <c r="E1221" s="21"/>
      <c r="F1221" s="2">
        <f t="shared" si="26"/>
        <v>0</v>
      </c>
      <c r="G1221" s="3" t="str">
        <f>HYPERLINK("http://tmmp-catalog.com.ua/katalog/11/15242/","фото")</f>
        <v>фото</v>
      </c>
      <c r="H1221" s="22"/>
    </row>
    <row r="1222" spans="1:8" ht="15" x14ac:dyDescent="0.2">
      <c r="A1222" s="18"/>
      <c r="B1222" s="19" t="s">
        <v>2488</v>
      </c>
      <c r="C1222" s="20" t="s">
        <v>2489</v>
      </c>
      <c r="D1222" s="2">
        <v>1.2</v>
      </c>
      <c r="E1222" s="21"/>
      <c r="F1222" s="2">
        <f t="shared" si="26"/>
        <v>0</v>
      </c>
      <c r="G1222" s="3" t="str">
        <f>HYPERLINK("http://tmmp-catalog.com.ua/katalog/11/17289/","фото")</f>
        <v>фото</v>
      </c>
      <c r="H1222" s="22"/>
    </row>
    <row r="1223" spans="1:8" ht="15" x14ac:dyDescent="0.2">
      <c r="A1223" s="18"/>
      <c r="B1223" s="19" t="s">
        <v>2490</v>
      </c>
      <c r="C1223" s="20" t="s">
        <v>2491</v>
      </c>
      <c r="D1223" s="2">
        <v>3.7</v>
      </c>
      <c r="E1223" s="21"/>
      <c r="F1223" s="2">
        <f t="shared" si="26"/>
        <v>0</v>
      </c>
      <c r="G1223" s="3" t="str">
        <f>HYPERLINK("http://tmmp-catalog.com.ua/katalog/11/17290/","фото")</f>
        <v>фото</v>
      </c>
      <c r="H1223" s="22"/>
    </row>
    <row r="1224" spans="1:8" ht="15" x14ac:dyDescent="0.2">
      <c r="A1224" s="18"/>
      <c r="B1224" s="19" t="s">
        <v>2492</v>
      </c>
      <c r="C1224" s="20" t="s">
        <v>2493</v>
      </c>
      <c r="D1224" s="2">
        <v>2.5</v>
      </c>
      <c r="E1224" s="21"/>
      <c r="F1224" s="2">
        <f t="shared" si="26"/>
        <v>0</v>
      </c>
      <c r="G1224" s="3" t="str">
        <f>HYPERLINK("http://tmmp-catalog.com.ua/katalog/11/17291/","фото")</f>
        <v>фото</v>
      </c>
      <c r="H1224" s="22"/>
    </row>
    <row r="1225" spans="1:8" ht="15" x14ac:dyDescent="0.2">
      <c r="A1225" s="18"/>
      <c r="B1225" s="19" t="s">
        <v>2494</v>
      </c>
      <c r="C1225" s="20" t="s">
        <v>2495</v>
      </c>
      <c r="D1225" s="2">
        <v>4.2</v>
      </c>
      <c r="E1225" s="21"/>
      <c r="F1225" s="2">
        <f t="shared" si="26"/>
        <v>0</v>
      </c>
      <c r="G1225" s="3" t="str">
        <f>HYPERLINK("http://tmmp-catalog.com.ua/katalog/11/17292/","фото")</f>
        <v>фото</v>
      </c>
      <c r="H1225" s="22"/>
    </row>
    <row r="1226" spans="1:8" ht="15" x14ac:dyDescent="0.2">
      <c r="A1226" s="18"/>
      <c r="B1226" s="19" t="s">
        <v>2496</v>
      </c>
      <c r="C1226" s="20" t="s">
        <v>2497</v>
      </c>
      <c r="D1226" s="2">
        <v>2.8</v>
      </c>
      <c r="E1226" s="21"/>
      <c r="F1226" s="2">
        <f t="shared" si="26"/>
        <v>0</v>
      </c>
      <c r="G1226" s="3" t="str">
        <f>HYPERLINK("http://tmmp-catalog.com.ua/katalog/11/17293/","фото")</f>
        <v>фото</v>
      </c>
      <c r="H1226" s="22"/>
    </row>
    <row r="1227" spans="1:8" ht="15" x14ac:dyDescent="0.2">
      <c r="A1227" s="18">
        <v>2000000003221</v>
      </c>
      <c r="B1227" s="19" t="s">
        <v>2498</v>
      </c>
      <c r="C1227" s="20" t="s">
        <v>2499</v>
      </c>
      <c r="D1227" s="2">
        <v>5.2</v>
      </c>
      <c r="E1227" s="21"/>
      <c r="F1227" s="2">
        <f t="shared" si="26"/>
        <v>0</v>
      </c>
      <c r="G1227" s="3" t="str">
        <f>HYPERLINK("http://tmmp-catalog.com.ua/katalog/11/15243/","фото")</f>
        <v>фото</v>
      </c>
      <c r="H1227" s="22"/>
    </row>
    <row r="1228" spans="1:8" ht="15" x14ac:dyDescent="0.2">
      <c r="A1228" s="18"/>
      <c r="B1228" s="19" t="s">
        <v>2500</v>
      </c>
      <c r="C1228" s="20" t="s">
        <v>2501</v>
      </c>
      <c r="D1228" s="2">
        <v>6.9</v>
      </c>
      <c r="E1228" s="21"/>
      <c r="F1228" s="2">
        <f t="shared" si="26"/>
        <v>0</v>
      </c>
      <c r="G1228" s="3" t="str">
        <f>HYPERLINK("http://tmmp-catalog.com.ua/katalog/11/17556/","фото")</f>
        <v>фото</v>
      </c>
      <c r="H1228" s="22"/>
    </row>
    <row r="1229" spans="1:8" ht="15" x14ac:dyDescent="0.2">
      <c r="A1229" s="18">
        <v>2000000003238</v>
      </c>
      <c r="B1229" s="19" t="s">
        <v>2502</v>
      </c>
      <c r="C1229" s="20" t="s">
        <v>2503</v>
      </c>
      <c r="D1229" s="2">
        <v>8.1</v>
      </c>
      <c r="E1229" s="21"/>
      <c r="F1229" s="2">
        <f t="shared" si="26"/>
        <v>0</v>
      </c>
      <c r="G1229" s="3" t="str">
        <f>HYPERLINK("http://tmmp-catalog.com.ua/katalog/11/15244/","фото")</f>
        <v>фото</v>
      </c>
      <c r="H1229" s="22"/>
    </row>
    <row r="1230" spans="1:8" ht="15" x14ac:dyDescent="0.2">
      <c r="A1230" s="18">
        <v>2000000003245</v>
      </c>
      <c r="B1230" s="19" t="s">
        <v>2504</v>
      </c>
      <c r="C1230" s="20" t="s">
        <v>2505</v>
      </c>
      <c r="D1230" s="2">
        <v>12</v>
      </c>
      <c r="E1230" s="21"/>
      <c r="F1230" s="2">
        <f t="shared" si="26"/>
        <v>0</v>
      </c>
      <c r="G1230" s="3" t="str">
        <f>HYPERLINK("http://tmmp-catalog.com.ua/katalog/11/15245/","фото")</f>
        <v>фото</v>
      </c>
      <c r="H1230" s="22"/>
    </row>
    <row r="1231" spans="1:8" ht="15" x14ac:dyDescent="0.2">
      <c r="A1231" s="18">
        <v>2000000003252</v>
      </c>
      <c r="B1231" s="19" t="s">
        <v>2506</v>
      </c>
      <c r="C1231" s="20" t="s">
        <v>2507</v>
      </c>
      <c r="D1231" s="2">
        <v>1.4</v>
      </c>
      <c r="E1231" s="21"/>
      <c r="F1231" s="2">
        <f t="shared" si="26"/>
        <v>0</v>
      </c>
      <c r="G1231" s="3" t="str">
        <f>HYPERLINK("http://tmmp-catalog.com.ua/katalog/11/15246/","фото")</f>
        <v>фото</v>
      </c>
      <c r="H1231" s="22"/>
    </row>
    <row r="1232" spans="1:8" ht="15" x14ac:dyDescent="0.2">
      <c r="A1232" s="18"/>
      <c r="B1232" s="19" t="s">
        <v>2508</v>
      </c>
      <c r="C1232" s="20" t="s">
        <v>2509</v>
      </c>
      <c r="D1232" s="2">
        <v>3</v>
      </c>
      <c r="E1232" s="21"/>
      <c r="F1232" s="2">
        <f t="shared" si="26"/>
        <v>0</v>
      </c>
      <c r="G1232" s="3" t="str">
        <f>HYPERLINK("http://tmmp-catalog.com.ua/katalog/11/17294/","фото")</f>
        <v>фото</v>
      </c>
      <c r="H1232" s="22"/>
    </row>
    <row r="1233" spans="1:8" ht="15" x14ac:dyDescent="0.2">
      <c r="A1233" s="18">
        <v>2000000003269</v>
      </c>
      <c r="B1233" s="19" t="s">
        <v>2510</v>
      </c>
      <c r="C1233" s="20" t="s">
        <v>2511</v>
      </c>
      <c r="D1233" s="2">
        <v>9</v>
      </c>
      <c r="E1233" s="21"/>
      <c r="F1233" s="2">
        <f t="shared" si="26"/>
        <v>0</v>
      </c>
      <c r="G1233" s="3" t="str">
        <f>HYPERLINK("http://tmmp-catalog.com.ua/katalog/11/15247/","фото")</f>
        <v>фото</v>
      </c>
      <c r="H1233" s="22"/>
    </row>
    <row r="1234" spans="1:8" ht="15" x14ac:dyDescent="0.2">
      <c r="A1234" s="18"/>
      <c r="B1234" s="19" t="s">
        <v>2512</v>
      </c>
      <c r="C1234" s="20" t="s">
        <v>2513</v>
      </c>
      <c r="D1234" s="2">
        <v>21</v>
      </c>
      <c r="E1234" s="21"/>
      <c r="F1234" s="2">
        <f t="shared" si="26"/>
        <v>0</v>
      </c>
      <c r="G1234" s="3" t="str">
        <f>HYPERLINK("http://tmmp-catalog.com.ua/katalog/37/18315/","фото")</f>
        <v>фото</v>
      </c>
      <c r="H1234" s="22"/>
    </row>
    <row r="1235" spans="1:8" ht="15" x14ac:dyDescent="0.2">
      <c r="A1235" s="18">
        <v>2000000003436</v>
      </c>
      <c r="B1235" s="19" t="s">
        <v>2514</v>
      </c>
      <c r="C1235" s="20" t="s">
        <v>2515</v>
      </c>
      <c r="D1235" s="2">
        <v>0.15</v>
      </c>
      <c r="E1235" s="21"/>
      <c r="F1235" s="2">
        <f t="shared" si="26"/>
        <v>0</v>
      </c>
      <c r="G1235" s="3" t="str">
        <f>HYPERLINK("http://tmmp-catalog.com.ua/katalog/11/16748/","фото")</f>
        <v>фото</v>
      </c>
      <c r="H1235" s="22"/>
    </row>
    <row r="1236" spans="1:8" ht="15" x14ac:dyDescent="0.2">
      <c r="A1236" s="18">
        <v>2000000003276</v>
      </c>
      <c r="B1236" s="19" t="s">
        <v>2516</v>
      </c>
      <c r="C1236" s="20" t="s">
        <v>2517</v>
      </c>
      <c r="D1236" s="2">
        <v>4.8</v>
      </c>
      <c r="E1236" s="21"/>
      <c r="F1236" s="2">
        <f t="shared" si="26"/>
        <v>0</v>
      </c>
      <c r="G1236" s="3" t="str">
        <f>HYPERLINK("http://tmmp-catalog.com.ua/katalog/11/15248/","фото")</f>
        <v>фото</v>
      </c>
      <c r="H1236" s="22"/>
    </row>
    <row r="1237" spans="1:8" ht="15" x14ac:dyDescent="0.2">
      <c r="A1237" s="18">
        <v>2000000003283</v>
      </c>
      <c r="B1237" s="19" t="s">
        <v>2518</v>
      </c>
      <c r="C1237" s="20" t="s">
        <v>2519</v>
      </c>
      <c r="D1237" s="2">
        <v>11.9</v>
      </c>
      <c r="E1237" s="21"/>
      <c r="F1237" s="2">
        <f t="shared" si="26"/>
        <v>0</v>
      </c>
      <c r="G1237" s="3" t="str">
        <f>HYPERLINK("http://tmmp-catalog.com.ua/katalog/11/15249/","фото")</f>
        <v>фото</v>
      </c>
      <c r="H1237" s="22"/>
    </row>
    <row r="1238" spans="1:8" ht="15" x14ac:dyDescent="0.2">
      <c r="A1238" s="18">
        <v>2000000003290</v>
      </c>
      <c r="B1238" s="19" t="s">
        <v>2520</v>
      </c>
      <c r="C1238" s="20" t="s">
        <v>2521</v>
      </c>
      <c r="D1238" s="2">
        <v>1.1000000000000001</v>
      </c>
      <c r="E1238" s="21"/>
      <c r="F1238" s="2">
        <f t="shared" si="26"/>
        <v>0</v>
      </c>
      <c r="G1238" s="3" t="str">
        <f>HYPERLINK("http://tmmp-catalog.com.ua/katalog/11/15250/","фото")</f>
        <v>фото</v>
      </c>
      <c r="H1238" s="22"/>
    </row>
    <row r="1239" spans="1:8" ht="15" x14ac:dyDescent="0.2">
      <c r="A1239" s="18">
        <v>2000000003153</v>
      </c>
      <c r="B1239" s="19" t="s">
        <v>2522</v>
      </c>
      <c r="C1239" s="20" t="s">
        <v>2523</v>
      </c>
      <c r="D1239" s="2">
        <v>1.5</v>
      </c>
      <c r="E1239" s="21"/>
      <c r="F1239" s="2">
        <f t="shared" si="26"/>
        <v>0</v>
      </c>
      <c r="G1239" s="3" t="str">
        <f>HYPERLINK("http://tmmp-catalog.com.ua/katalog/11/15236/","фото")</f>
        <v>фото</v>
      </c>
      <c r="H1239" s="22"/>
    </row>
    <row r="1240" spans="1:8" ht="15" x14ac:dyDescent="0.2">
      <c r="A1240" s="18"/>
      <c r="B1240" s="19" t="s">
        <v>2524</v>
      </c>
      <c r="C1240" s="20" t="s">
        <v>2525</v>
      </c>
      <c r="D1240" s="2">
        <v>1.7</v>
      </c>
      <c r="E1240" s="21"/>
      <c r="F1240" s="2">
        <f t="shared" si="26"/>
        <v>0</v>
      </c>
      <c r="G1240" s="3" t="str">
        <f>HYPERLINK("http://tmmp-catalog.com.ua/katalog/11/17297/","фото")</f>
        <v>фото</v>
      </c>
      <c r="H1240" s="22"/>
    </row>
    <row r="1241" spans="1:8" ht="15" x14ac:dyDescent="0.2">
      <c r="A1241" s="18"/>
      <c r="B1241" s="19" t="s">
        <v>2526</v>
      </c>
      <c r="C1241" s="20" t="s">
        <v>2527</v>
      </c>
      <c r="D1241" s="2">
        <v>3.4</v>
      </c>
      <c r="E1241" s="21"/>
      <c r="F1241" s="2">
        <f t="shared" si="26"/>
        <v>0</v>
      </c>
      <c r="G1241" s="3" t="str">
        <f>HYPERLINK("http://tmmp-catalog.com.ua/katalog/11/17298/","фото")</f>
        <v>фото</v>
      </c>
      <c r="H1241" s="22"/>
    </row>
    <row r="1242" spans="1:8" ht="15" x14ac:dyDescent="0.2">
      <c r="A1242" s="18"/>
      <c r="B1242" s="19" t="s">
        <v>2528</v>
      </c>
      <c r="C1242" s="20" t="s">
        <v>2529</v>
      </c>
      <c r="D1242" s="2">
        <v>0.5</v>
      </c>
      <c r="E1242" s="21"/>
      <c r="F1242" s="2">
        <f t="shared" ref="F1242:F1262" si="27">cena*zakaz</f>
        <v>0</v>
      </c>
      <c r="G1242" s="3" t="str">
        <f>HYPERLINK("http://tmmp-catalog.com.ua/katalog/11/17299/","фото")</f>
        <v>фото</v>
      </c>
      <c r="H1242" s="22"/>
    </row>
    <row r="1243" spans="1:8" ht="15" x14ac:dyDescent="0.2">
      <c r="A1243" s="18"/>
      <c r="B1243" s="19" t="s">
        <v>2530</v>
      </c>
      <c r="C1243" s="20" t="s">
        <v>2531</v>
      </c>
      <c r="D1243" s="2">
        <v>1.5</v>
      </c>
      <c r="E1243" s="21"/>
      <c r="F1243" s="2">
        <f t="shared" si="27"/>
        <v>0</v>
      </c>
      <c r="G1243" s="3" t="str">
        <f>HYPERLINK("http://tmmp-catalog.com.ua/katalog/11/17300/","фото")</f>
        <v>фото</v>
      </c>
      <c r="H1243" s="22"/>
    </row>
    <row r="1244" spans="1:8" ht="15" x14ac:dyDescent="0.2">
      <c r="A1244" s="18"/>
      <c r="B1244" s="19" t="s">
        <v>2532</v>
      </c>
      <c r="C1244" s="20" t="s">
        <v>2533</v>
      </c>
      <c r="D1244" s="2">
        <v>4.5</v>
      </c>
      <c r="E1244" s="21"/>
      <c r="F1244" s="2">
        <f t="shared" si="27"/>
        <v>0</v>
      </c>
      <c r="G1244" s="3" t="str">
        <f>HYPERLINK("http://tmmp-catalog.com.ua/katalog/11/17791/","фото")</f>
        <v>фото</v>
      </c>
      <c r="H1244" s="22"/>
    </row>
    <row r="1245" spans="1:8" ht="15" x14ac:dyDescent="0.2">
      <c r="A1245" s="18">
        <v>2000000003313</v>
      </c>
      <c r="B1245" s="19" t="s">
        <v>2534</v>
      </c>
      <c r="C1245" s="20" t="s">
        <v>2535</v>
      </c>
      <c r="D1245" s="2">
        <v>1.4</v>
      </c>
      <c r="E1245" s="21"/>
      <c r="F1245" s="2">
        <f t="shared" si="27"/>
        <v>0</v>
      </c>
      <c r="G1245" s="3" t="str">
        <f>HYPERLINK("http://tmmp-catalog.com.ua/katalog/11/15252/","фото")</f>
        <v>фото</v>
      </c>
      <c r="H1245" s="22"/>
    </row>
    <row r="1246" spans="1:8" ht="15" x14ac:dyDescent="0.2">
      <c r="A1246" s="18">
        <v>2000000003320</v>
      </c>
      <c r="B1246" s="19" t="s">
        <v>2536</v>
      </c>
      <c r="C1246" s="20" t="s">
        <v>2537</v>
      </c>
      <c r="D1246" s="2">
        <v>0.35</v>
      </c>
      <c r="E1246" s="21"/>
      <c r="F1246" s="2">
        <f t="shared" si="27"/>
        <v>0</v>
      </c>
      <c r="G1246" s="3" t="str">
        <f>HYPERLINK("http://tmmp-catalog.com.ua/katalog/11/15253/","фото")</f>
        <v>фото</v>
      </c>
      <c r="H1246" s="22"/>
    </row>
    <row r="1247" spans="1:8" ht="15" x14ac:dyDescent="0.2">
      <c r="A1247" s="18">
        <v>2000000003306</v>
      </c>
      <c r="B1247" s="19" t="s">
        <v>2538</v>
      </c>
      <c r="C1247" s="20" t="s">
        <v>2539</v>
      </c>
      <c r="D1247" s="2">
        <v>1.25</v>
      </c>
      <c r="E1247" s="21"/>
      <c r="F1247" s="2">
        <f t="shared" si="27"/>
        <v>0</v>
      </c>
      <c r="G1247" s="3" t="str">
        <f>HYPERLINK("http://tmmp-catalog.com.ua/katalog/11/15251/","фото")</f>
        <v>фото</v>
      </c>
      <c r="H1247" s="22"/>
    </row>
    <row r="1248" spans="1:8" ht="15" x14ac:dyDescent="0.2">
      <c r="A1248" s="18">
        <v>2000000003337</v>
      </c>
      <c r="B1248" s="19" t="s">
        <v>2540</v>
      </c>
      <c r="C1248" s="20" t="s">
        <v>2541</v>
      </c>
      <c r="D1248" s="2">
        <v>1</v>
      </c>
      <c r="E1248" s="21"/>
      <c r="F1248" s="2">
        <f t="shared" si="27"/>
        <v>0</v>
      </c>
      <c r="G1248" s="3" t="str">
        <f>HYPERLINK("http://tmmp-catalog.com.ua/katalog/11/15254/","фото")</f>
        <v>фото</v>
      </c>
      <c r="H1248" s="22"/>
    </row>
    <row r="1249" spans="1:8" ht="15" x14ac:dyDescent="0.2">
      <c r="A1249" s="18"/>
      <c r="B1249" s="19" t="s">
        <v>2542</v>
      </c>
      <c r="C1249" s="20" t="s">
        <v>2543</v>
      </c>
      <c r="D1249" s="2">
        <v>3.5</v>
      </c>
      <c r="E1249" s="21"/>
      <c r="F1249" s="2">
        <f t="shared" si="27"/>
        <v>0</v>
      </c>
      <c r="G1249" s="3" t="str">
        <f>HYPERLINK("http://tmmp-catalog.com.ua/katalog/11/17302/","фото")</f>
        <v>фото</v>
      </c>
      <c r="H1249" s="22"/>
    </row>
    <row r="1250" spans="1:8" ht="15" x14ac:dyDescent="0.2">
      <c r="A1250" s="18"/>
      <c r="B1250" s="19" t="s">
        <v>2544</v>
      </c>
      <c r="C1250" s="20" t="s">
        <v>2545</v>
      </c>
      <c r="D1250" s="2">
        <v>1.2</v>
      </c>
      <c r="E1250" s="21"/>
      <c r="F1250" s="2">
        <f t="shared" si="27"/>
        <v>0</v>
      </c>
      <c r="G1250" s="3" t="str">
        <f>HYPERLINK("http://tmmp-catalog.com.ua/katalog/11/17303/","фото")</f>
        <v>фото</v>
      </c>
      <c r="H1250" s="22"/>
    </row>
    <row r="1251" spans="1:8" ht="15" x14ac:dyDescent="0.2">
      <c r="A1251" s="18"/>
      <c r="B1251" s="19" t="s">
        <v>2546</v>
      </c>
      <c r="C1251" s="20" t="s">
        <v>2547</v>
      </c>
      <c r="D1251" s="2">
        <v>0.7</v>
      </c>
      <c r="E1251" s="21"/>
      <c r="F1251" s="2">
        <f t="shared" si="27"/>
        <v>0</v>
      </c>
      <c r="G1251" s="3" t="str">
        <f>HYPERLINK("http://tmmp-catalog.com.ua/katalog/11/17304/","фото")</f>
        <v>фото</v>
      </c>
      <c r="H1251" s="22"/>
    </row>
    <row r="1252" spans="1:8" ht="15" x14ac:dyDescent="0.2">
      <c r="A1252" s="18">
        <v>2000000003351</v>
      </c>
      <c r="B1252" s="19" t="s">
        <v>2548</v>
      </c>
      <c r="C1252" s="20" t="s">
        <v>2549</v>
      </c>
      <c r="D1252" s="2">
        <v>0.6</v>
      </c>
      <c r="E1252" s="21"/>
      <c r="F1252" s="2">
        <f t="shared" si="27"/>
        <v>0</v>
      </c>
      <c r="G1252" s="3" t="str">
        <f>HYPERLINK("http://tmmp-catalog.com.ua/katalog/11/15256/","фото")</f>
        <v>фото</v>
      </c>
      <c r="H1252" s="22"/>
    </row>
    <row r="1253" spans="1:8" ht="15" x14ac:dyDescent="0.2">
      <c r="A1253" s="18"/>
      <c r="B1253" s="19" t="s">
        <v>2550</v>
      </c>
      <c r="C1253" s="20" t="s">
        <v>2551</v>
      </c>
      <c r="D1253" s="2">
        <v>6.5</v>
      </c>
      <c r="E1253" s="21"/>
      <c r="F1253" s="2">
        <f t="shared" si="27"/>
        <v>0</v>
      </c>
      <c r="G1253" s="3" t="str">
        <f>HYPERLINK("http://tmmp-catalog.com.ua/katalog/11/17305/","фото")</f>
        <v>фото</v>
      </c>
      <c r="H1253" s="22"/>
    </row>
    <row r="1254" spans="1:8" ht="15" x14ac:dyDescent="0.2">
      <c r="A1254" s="18">
        <v>2000000003368</v>
      </c>
      <c r="B1254" s="19" t="s">
        <v>2552</v>
      </c>
      <c r="C1254" s="20" t="s">
        <v>2553</v>
      </c>
      <c r="D1254" s="2">
        <v>6</v>
      </c>
      <c r="E1254" s="21"/>
      <c r="F1254" s="2">
        <f t="shared" si="27"/>
        <v>0</v>
      </c>
      <c r="G1254" s="3" t="str">
        <f>HYPERLINK("http://tmmp-catalog.com.ua/katalog/11/15257/","фото")</f>
        <v>фото</v>
      </c>
      <c r="H1254" s="22"/>
    </row>
    <row r="1255" spans="1:8" ht="15" x14ac:dyDescent="0.2">
      <c r="A1255" s="18">
        <v>2000000003375</v>
      </c>
      <c r="B1255" s="19" t="s">
        <v>2554</v>
      </c>
      <c r="C1255" s="20" t="s">
        <v>2555</v>
      </c>
      <c r="D1255" s="2">
        <v>0.7</v>
      </c>
      <c r="E1255" s="21"/>
      <c r="F1255" s="2">
        <f t="shared" si="27"/>
        <v>0</v>
      </c>
      <c r="G1255" s="3" t="str">
        <f>HYPERLINK("http://tmmp-catalog.com.ua/katalog/11/15258/","фото")</f>
        <v>фото</v>
      </c>
      <c r="H1255" s="22"/>
    </row>
    <row r="1256" spans="1:8" ht="15" x14ac:dyDescent="0.2">
      <c r="A1256" s="18">
        <v>2000000003382</v>
      </c>
      <c r="B1256" s="19" t="s">
        <v>2556</v>
      </c>
      <c r="C1256" s="20" t="s">
        <v>2557</v>
      </c>
      <c r="D1256" s="2">
        <v>0.9</v>
      </c>
      <c r="E1256" s="21"/>
      <c r="F1256" s="2">
        <f t="shared" si="27"/>
        <v>0</v>
      </c>
      <c r="G1256" s="3" t="str">
        <f>HYPERLINK("http://tmmp-catalog.com.ua/katalog/11/15259/","фото")</f>
        <v>фото</v>
      </c>
      <c r="H1256" s="22"/>
    </row>
    <row r="1257" spans="1:8" ht="15" x14ac:dyDescent="0.2">
      <c r="A1257" s="18">
        <v>2000000003399</v>
      </c>
      <c r="B1257" s="19" t="s">
        <v>2558</v>
      </c>
      <c r="C1257" s="20" t="s">
        <v>2559</v>
      </c>
      <c r="D1257" s="2">
        <v>4.4000000000000004</v>
      </c>
      <c r="E1257" s="21"/>
      <c r="F1257" s="2">
        <f t="shared" si="27"/>
        <v>0</v>
      </c>
      <c r="G1257" s="3" t="str">
        <f>HYPERLINK("http://tmmp-catalog.com.ua/katalog/11/15260/","фото")</f>
        <v>фото</v>
      </c>
      <c r="H1257" s="22"/>
    </row>
    <row r="1258" spans="1:8" ht="15" x14ac:dyDescent="0.2">
      <c r="A1258" s="18">
        <v>2000000003405</v>
      </c>
      <c r="B1258" s="19" t="s">
        <v>2560</v>
      </c>
      <c r="C1258" s="20" t="s">
        <v>2561</v>
      </c>
      <c r="D1258" s="2">
        <v>18.5</v>
      </c>
      <c r="E1258" s="21"/>
      <c r="F1258" s="2">
        <f t="shared" si="27"/>
        <v>0</v>
      </c>
      <c r="G1258" s="3" t="str">
        <f>HYPERLINK("http://tmmp-catalog.com.ua/katalog/11/15261/","фото")</f>
        <v>фото</v>
      </c>
      <c r="H1258" s="22"/>
    </row>
    <row r="1259" spans="1:8" ht="15" x14ac:dyDescent="0.2">
      <c r="A1259" s="18"/>
      <c r="B1259" s="19" t="s">
        <v>2562</v>
      </c>
      <c r="C1259" s="20" t="s">
        <v>2563</v>
      </c>
      <c r="D1259" s="2">
        <v>0.15</v>
      </c>
      <c r="E1259" s="21"/>
      <c r="F1259" s="2">
        <f t="shared" si="27"/>
        <v>0</v>
      </c>
      <c r="G1259" s="3" t="str">
        <f>HYPERLINK("http://tmmp-catalog.com.ua/katalog/11/17308/","фото")</f>
        <v>фото</v>
      </c>
      <c r="H1259" s="22"/>
    </row>
    <row r="1260" spans="1:8" ht="15" x14ac:dyDescent="0.2">
      <c r="A1260" s="18"/>
      <c r="B1260" s="19" t="s">
        <v>2564</v>
      </c>
      <c r="C1260" s="20" t="s">
        <v>2565</v>
      </c>
      <c r="D1260" s="2">
        <v>0.9</v>
      </c>
      <c r="E1260" s="21"/>
      <c r="F1260" s="2">
        <f t="shared" si="27"/>
        <v>0</v>
      </c>
      <c r="G1260" s="3" t="str">
        <f>HYPERLINK("http://tmmp-catalog.com.ua/katalog/11/17309/","фото")</f>
        <v>фото</v>
      </c>
      <c r="H1260" s="22"/>
    </row>
    <row r="1261" spans="1:8" ht="15" x14ac:dyDescent="0.2">
      <c r="A1261" s="18"/>
      <c r="B1261" s="19" t="s">
        <v>2566</v>
      </c>
      <c r="C1261" s="20" t="s">
        <v>2567</v>
      </c>
      <c r="D1261" s="2">
        <v>1.9</v>
      </c>
      <c r="E1261" s="21"/>
      <c r="F1261" s="2">
        <f t="shared" si="27"/>
        <v>0</v>
      </c>
      <c r="G1261" s="3" t="str">
        <f>HYPERLINK("http://tmmp-catalog.com.ua/katalog/11/17312/","фото")</f>
        <v>фото</v>
      </c>
      <c r="H1261" s="22"/>
    </row>
    <row r="1262" spans="1:8" ht="15" x14ac:dyDescent="0.2">
      <c r="A1262" s="18"/>
      <c r="B1262" s="19" t="s">
        <v>2568</v>
      </c>
      <c r="C1262" s="20" t="s">
        <v>2569</v>
      </c>
      <c r="D1262" s="2">
        <v>0.2</v>
      </c>
      <c r="E1262" s="21"/>
      <c r="F1262" s="2">
        <f t="shared" si="27"/>
        <v>0</v>
      </c>
      <c r="G1262" s="3" t="str">
        <f>HYPERLINK("http://tmmp-catalog.com.ua/katalog/11/17307/","фото")</f>
        <v>фото</v>
      </c>
      <c r="H1262" s="22"/>
    </row>
    <row r="1263" spans="1:8" ht="23.25" x14ac:dyDescent="0.2">
      <c r="A1263" s="18"/>
      <c r="B1263" s="51"/>
      <c r="C1263" s="56" t="s">
        <v>4</v>
      </c>
      <c r="D1263" s="52"/>
      <c r="E1263" s="53"/>
      <c r="F1263" s="52"/>
      <c r="G1263" s="54"/>
      <c r="H1263" s="55"/>
    </row>
    <row r="1264" spans="1:8" ht="15" x14ac:dyDescent="0.2">
      <c r="A1264" s="18">
        <v>2000000028989</v>
      </c>
      <c r="B1264" s="19" t="s">
        <v>2570</v>
      </c>
      <c r="C1264" s="20" t="s">
        <v>2571</v>
      </c>
      <c r="D1264" s="2">
        <v>2.5</v>
      </c>
      <c r="E1264" s="21"/>
      <c r="F1264" s="2">
        <f t="shared" ref="F1264:F1287" si="28">cena*zakaz</f>
        <v>0</v>
      </c>
      <c r="G1264" s="3" t="str">
        <f>HYPERLINK("http://tmmp-catalog.com.ua/katalog/7/15284/","фото")</f>
        <v>фото</v>
      </c>
      <c r="H1264" s="22"/>
    </row>
    <row r="1265" spans="1:8" ht="15" x14ac:dyDescent="0.2">
      <c r="A1265" s="18">
        <v>2000000029009</v>
      </c>
      <c r="B1265" s="19" t="s">
        <v>2572</v>
      </c>
      <c r="C1265" s="20" t="s">
        <v>2573</v>
      </c>
      <c r="D1265" s="2">
        <v>4</v>
      </c>
      <c r="E1265" s="21"/>
      <c r="F1265" s="2">
        <f t="shared" si="28"/>
        <v>0</v>
      </c>
      <c r="G1265" s="3" t="str">
        <f>HYPERLINK("http://tmmp-catalog.com.ua/katalog/7/15286/","фото")</f>
        <v>фото</v>
      </c>
      <c r="H1265" s="22"/>
    </row>
    <row r="1266" spans="1:8" ht="15" x14ac:dyDescent="0.2">
      <c r="A1266" s="18">
        <v>2000000029023</v>
      </c>
      <c r="B1266" s="19" t="s">
        <v>2574</v>
      </c>
      <c r="C1266" s="20" t="s">
        <v>2575</v>
      </c>
      <c r="D1266" s="2">
        <v>4</v>
      </c>
      <c r="E1266" s="21"/>
      <c r="F1266" s="2">
        <f t="shared" si="28"/>
        <v>0</v>
      </c>
      <c r="G1266" s="3" t="str">
        <f>HYPERLINK("http://tmmp-catalog.com.ua/katalog/7/15288/","фото")</f>
        <v>фото</v>
      </c>
      <c r="H1266" s="22"/>
    </row>
    <row r="1267" spans="1:8" ht="15" x14ac:dyDescent="0.2">
      <c r="A1267" s="18">
        <v>2000000029337</v>
      </c>
      <c r="B1267" s="19" t="s">
        <v>2576</v>
      </c>
      <c r="C1267" s="20" t="s">
        <v>2577</v>
      </c>
      <c r="D1267" s="2">
        <v>1</v>
      </c>
      <c r="E1267" s="21"/>
      <c r="F1267" s="2">
        <f t="shared" si="28"/>
        <v>0</v>
      </c>
      <c r="G1267" s="3" t="str">
        <f>HYPERLINK("http://tmmp-catalog.com.ua/katalog/7/16740/","фото")</f>
        <v>фото</v>
      </c>
      <c r="H1267" s="22"/>
    </row>
    <row r="1268" spans="1:8" ht="15" x14ac:dyDescent="0.2">
      <c r="A1268" s="18">
        <v>2000000029030</v>
      </c>
      <c r="B1268" s="19" t="s">
        <v>2578</v>
      </c>
      <c r="C1268" s="20" t="s">
        <v>2579</v>
      </c>
      <c r="D1268" s="2">
        <v>1.3</v>
      </c>
      <c r="E1268" s="21"/>
      <c r="F1268" s="2">
        <f t="shared" si="28"/>
        <v>0</v>
      </c>
      <c r="G1268" s="3" t="str">
        <f>HYPERLINK("http://tmmp-catalog.com.ua/katalog/7/15289/","фото")</f>
        <v>фото</v>
      </c>
      <c r="H1268" s="22"/>
    </row>
    <row r="1269" spans="1:8" ht="15" x14ac:dyDescent="0.2">
      <c r="A1269" s="18">
        <v>2000000029078</v>
      </c>
      <c r="B1269" s="19" t="s">
        <v>2580</v>
      </c>
      <c r="C1269" s="20" t="s">
        <v>2581</v>
      </c>
      <c r="D1269" s="2">
        <v>0.8</v>
      </c>
      <c r="E1269" s="21"/>
      <c r="F1269" s="2">
        <f t="shared" si="28"/>
        <v>0</v>
      </c>
      <c r="G1269" s="3" t="str">
        <f>HYPERLINK("http://tmmp-catalog.com.ua/katalog/7/15293/","фото")</f>
        <v>фото</v>
      </c>
      <c r="H1269" s="22"/>
    </row>
    <row r="1270" spans="1:8" ht="15" x14ac:dyDescent="0.2">
      <c r="A1270" s="18"/>
      <c r="B1270" s="19" t="s">
        <v>2582</v>
      </c>
      <c r="C1270" s="20" t="s">
        <v>2583</v>
      </c>
      <c r="D1270" s="2">
        <v>0.5</v>
      </c>
      <c r="E1270" s="21"/>
      <c r="F1270" s="2">
        <f t="shared" si="28"/>
        <v>0</v>
      </c>
      <c r="G1270" s="3" t="str">
        <f>HYPERLINK("http://tmmp-catalog.com.ua/katalog/37/18336/","фото")</f>
        <v>фото</v>
      </c>
      <c r="H1270" s="22"/>
    </row>
    <row r="1271" spans="1:8" ht="15" x14ac:dyDescent="0.2">
      <c r="A1271" s="18"/>
      <c r="B1271" s="19" t="s">
        <v>2584</v>
      </c>
      <c r="C1271" s="20" t="s">
        <v>2585</v>
      </c>
      <c r="D1271" s="2">
        <v>0.5</v>
      </c>
      <c r="E1271" s="21"/>
      <c r="F1271" s="2">
        <f t="shared" si="28"/>
        <v>0</v>
      </c>
      <c r="G1271" s="3" t="str">
        <f>HYPERLINK("http://tmmp-catalog.com.ua/katalog/37/18337/","фото")</f>
        <v>фото</v>
      </c>
      <c r="H1271" s="22"/>
    </row>
    <row r="1272" spans="1:8" ht="15" x14ac:dyDescent="0.2">
      <c r="A1272" s="18">
        <v>2000000029412</v>
      </c>
      <c r="B1272" s="19" t="s">
        <v>2586</v>
      </c>
      <c r="C1272" s="20" t="s">
        <v>2587</v>
      </c>
      <c r="D1272" s="2">
        <v>0.5</v>
      </c>
      <c r="E1272" s="21"/>
      <c r="F1272" s="2">
        <f t="shared" si="28"/>
        <v>0</v>
      </c>
      <c r="G1272" s="3" t="str">
        <f>HYPERLINK("http://tmmp-catalog.com.ua/katalog/7/17021/","фото")</f>
        <v>фото</v>
      </c>
      <c r="H1272" s="22"/>
    </row>
    <row r="1273" spans="1:8" ht="15" x14ac:dyDescent="0.2">
      <c r="A1273" s="18">
        <v>2000000029436</v>
      </c>
      <c r="B1273" s="19" t="s">
        <v>2588</v>
      </c>
      <c r="C1273" s="20" t="s">
        <v>2589</v>
      </c>
      <c r="D1273" s="2">
        <v>0.5</v>
      </c>
      <c r="E1273" s="21"/>
      <c r="F1273" s="2">
        <f t="shared" si="28"/>
        <v>0</v>
      </c>
      <c r="G1273" s="3" t="str">
        <f>HYPERLINK("http://tmmp-catalog.com.ua/katalog/7/17023/","фото")</f>
        <v>фото</v>
      </c>
      <c r="H1273" s="22"/>
    </row>
    <row r="1274" spans="1:8" ht="15" x14ac:dyDescent="0.2">
      <c r="A1274" s="18">
        <v>2000000029085</v>
      </c>
      <c r="B1274" s="19" t="s">
        <v>2590</v>
      </c>
      <c r="C1274" s="20" t="s">
        <v>2591</v>
      </c>
      <c r="D1274" s="2">
        <v>2.2000000000000002</v>
      </c>
      <c r="E1274" s="21"/>
      <c r="F1274" s="2">
        <f t="shared" si="28"/>
        <v>0</v>
      </c>
      <c r="G1274" s="3" t="str">
        <f>HYPERLINK("http://tmmp-catalog.com.ua/katalog/7/15294/","фото")</f>
        <v>фото</v>
      </c>
      <c r="H1274" s="22"/>
    </row>
    <row r="1275" spans="1:8" ht="15" x14ac:dyDescent="0.2">
      <c r="A1275" s="18">
        <v>2000000029153</v>
      </c>
      <c r="B1275" s="19" t="s">
        <v>2592</v>
      </c>
      <c r="C1275" s="20" t="s">
        <v>2593</v>
      </c>
      <c r="D1275" s="2">
        <v>1.5</v>
      </c>
      <c r="E1275" s="21"/>
      <c r="F1275" s="2">
        <f t="shared" si="28"/>
        <v>0</v>
      </c>
      <c r="G1275" s="3" t="str">
        <f>HYPERLINK("http://tmmp-catalog.com.ua/katalog/7/15302/","фото")</f>
        <v>фото</v>
      </c>
      <c r="H1275" s="22"/>
    </row>
    <row r="1276" spans="1:8" ht="15" x14ac:dyDescent="0.2">
      <c r="A1276" s="18">
        <v>2000000029160</v>
      </c>
      <c r="B1276" s="19" t="s">
        <v>2594</v>
      </c>
      <c r="C1276" s="20" t="s">
        <v>2595</v>
      </c>
      <c r="D1276" s="2">
        <v>1.5</v>
      </c>
      <c r="E1276" s="21"/>
      <c r="F1276" s="2">
        <f t="shared" si="28"/>
        <v>0</v>
      </c>
      <c r="G1276" s="3" t="str">
        <f>HYPERLINK("http://tmmp-catalog.com.ua/katalog/7/15303/","фото")</f>
        <v>фото</v>
      </c>
      <c r="H1276" s="22"/>
    </row>
    <row r="1277" spans="1:8" ht="15" x14ac:dyDescent="0.2">
      <c r="A1277" s="18">
        <v>2000000029177</v>
      </c>
      <c r="B1277" s="19" t="s">
        <v>2596</v>
      </c>
      <c r="C1277" s="20" t="s">
        <v>2597</v>
      </c>
      <c r="D1277" s="2">
        <v>1.5</v>
      </c>
      <c r="E1277" s="21"/>
      <c r="F1277" s="2">
        <f t="shared" si="28"/>
        <v>0</v>
      </c>
      <c r="G1277" s="3" t="str">
        <f>HYPERLINK("http://tmmp-catalog.com.ua/katalog/7/15304/","фото")</f>
        <v>фото</v>
      </c>
      <c r="H1277" s="22"/>
    </row>
    <row r="1278" spans="1:8" ht="15" x14ac:dyDescent="0.2">
      <c r="A1278" s="18">
        <v>2000000029184</v>
      </c>
      <c r="B1278" s="19" t="s">
        <v>2598</v>
      </c>
      <c r="C1278" s="20" t="s">
        <v>2599</v>
      </c>
      <c r="D1278" s="2">
        <v>1.5</v>
      </c>
      <c r="E1278" s="21"/>
      <c r="F1278" s="2">
        <f t="shared" si="28"/>
        <v>0</v>
      </c>
      <c r="G1278" s="3" t="str">
        <f>HYPERLINK("http://tmmp-catalog.com.ua/katalog/7/15305/","фото")</f>
        <v>фото</v>
      </c>
      <c r="H1278" s="22"/>
    </row>
    <row r="1279" spans="1:8" ht="15" x14ac:dyDescent="0.2">
      <c r="A1279" s="18">
        <v>2000000029146</v>
      </c>
      <c r="B1279" s="19" t="s">
        <v>2600</v>
      </c>
      <c r="C1279" s="20" t="s">
        <v>2601</v>
      </c>
      <c r="D1279" s="2">
        <v>1.5</v>
      </c>
      <c r="E1279" s="21"/>
      <c r="F1279" s="2">
        <f t="shared" si="28"/>
        <v>0</v>
      </c>
      <c r="G1279" s="3" t="str">
        <f>HYPERLINK("http://tmmp-catalog.com.ua/katalog/7/15301/","фото")</f>
        <v>фото</v>
      </c>
      <c r="H1279" s="22"/>
    </row>
    <row r="1280" spans="1:8" ht="15" x14ac:dyDescent="0.2">
      <c r="A1280" s="18">
        <v>2000000029207</v>
      </c>
      <c r="B1280" s="19" t="s">
        <v>2602</v>
      </c>
      <c r="C1280" s="20" t="s">
        <v>2603</v>
      </c>
      <c r="D1280" s="2">
        <v>1.2</v>
      </c>
      <c r="E1280" s="21"/>
      <c r="F1280" s="2">
        <f t="shared" si="28"/>
        <v>0</v>
      </c>
      <c r="G1280" s="3" t="str">
        <f>HYPERLINK("http://tmmp-catalog.com.ua/katalog/7/15307/","фото")</f>
        <v>фото</v>
      </c>
      <c r="H1280" s="22"/>
    </row>
    <row r="1281" spans="1:8" ht="15" x14ac:dyDescent="0.2">
      <c r="A1281" s="18">
        <v>2000000029122</v>
      </c>
      <c r="B1281" s="19" t="s">
        <v>2604</v>
      </c>
      <c r="C1281" s="20" t="s">
        <v>2605</v>
      </c>
      <c r="D1281" s="2">
        <v>0.9</v>
      </c>
      <c r="E1281" s="21"/>
      <c r="F1281" s="2">
        <f t="shared" si="28"/>
        <v>0</v>
      </c>
      <c r="G1281" s="3" t="str">
        <f>HYPERLINK("http://tmmp-catalog.com.ua/katalog/7/15299/","фото")</f>
        <v>фото</v>
      </c>
      <c r="H1281" s="22"/>
    </row>
    <row r="1282" spans="1:8" ht="15" x14ac:dyDescent="0.2">
      <c r="A1282" s="18">
        <v>2000000029238</v>
      </c>
      <c r="B1282" s="19" t="s">
        <v>2606</v>
      </c>
      <c r="C1282" s="20" t="s">
        <v>2607</v>
      </c>
      <c r="D1282" s="2">
        <v>8</v>
      </c>
      <c r="E1282" s="21"/>
      <c r="F1282" s="2">
        <f t="shared" si="28"/>
        <v>0</v>
      </c>
      <c r="G1282" s="3" t="str">
        <f>HYPERLINK("http://tmmp-catalog.com.ua/katalog/7/15310/","фото")</f>
        <v>фото</v>
      </c>
      <c r="H1282" s="22"/>
    </row>
    <row r="1283" spans="1:8" ht="15" x14ac:dyDescent="0.2">
      <c r="A1283" s="18">
        <v>2000000029252</v>
      </c>
      <c r="B1283" s="19" t="s">
        <v>2608</v>
      </c>
      <c r="C1283" s="20" t="s">
        <v>2609</v>
      </c>
      <c r="D1283" s="2">
        <v>1</v>
      </c>
      <c r="E1283" s="21"/>
      <c r="F1283" s="2">
        <f t="shared" si="28"/>
        <v>0</v>
      </c>
      <c r="G1283" s="3" t="str">
        <f>HYPERLINK("http://tmmp-catalog.com.ua/katalog/7/15312/","фото")</f>
        <v>фото</v>
      </c>
      <c r="H1283" s="22"/>
    </row>
    <row r="1284" spans="1:8" ht="15" x14ac:dyDescent="0.2">
      <c r="A1284" s="18"/>
      <c r="B1284" s="19" t="s">
        <v>2610</v>
      </c>
      <c r="C1284" s="20" t="s">
        <v>2611</v>
      </c>
      <c r="D1284" s="2">
        <v>0.7</v>
      </c>
      <c r="E1284" s="21"/>
      <c r="F1284" s="2">
        <f t="shared" si="28"/>
        <v>0</v>
      </c>
      <c r="G1284" s="3" t="str">
        <f>HYPERLINK("http://tmmp-catalog.com.ua/katalog/7/17771/","фото")</f>
        <v>фото</v>
      </c>
      <c r="H1284" s="22"/>
    </row>
    <row r="1285" spans="1:8" ht="15" x14ac:dyDescent="0.2">
      <c r="A1285" s="18">
        <v>2000000029269</v>
      </c>
      <c r="B1285" s="19" t="s">
        <v>2612</v>
      </c>
      <c r="C1285" s="20" t="s">
        <v>2613</v>
      </c>
      <c r="D1285" s="2">
        <v>0.7</v>
      </c>
      <c r="E1285" s="21"/>
      <c r="F1285" s="2">
        <f t="shared" si="28"/>
        <v>0</v>
      </c>
      <c r="G1285" s="3" t="str">
        <f>HYPERLINK("http://tmmp-catalog.com.ua/katalog/7/15313/","фото")</f>
        <v>фото</v>
      </c>
      <c r="H1285" s="22"/>
    </row>
    <row r="1286" spans="1:8" ht="15" x14ac:dyDescent="0.2">
      <c r="A1286" s="18">
        <v>2000000029283</v>
      </c>
      <c r="B1286" s="19" t="s">
        <v>2614</v>
      </c>
      <c r="C1286" s="20" t="s">
        <v>2615</v>
      </c>
      <c r="D1286" s="2">
        <v>2</v>
      </c>
      <c r="E1286" s="21"/>
      <c r="F1286" s="2">
        <f t="shared" si="28"/>
        <v>0</v>
      </c>
      <c r="G1286" s="3" t="str">
        <f>HYPERLINK("http://tmmp-catalog.com.ua/katalog/7/15315/","фото")</f>
        <v>фото</v>
      </c>
      <c r="H1286" s="22"/>
    </row>
    <row r="1287" spans="1:8" ht="15" x14ac:dyDescent="0.2">
      <c r="A1287" s="18">
        <v>2000000029313</v>
      </c>
      <c r="B1287" s="19" t="s">
        <v>2616</v>
      </c>
      <c r="C1287" s="20" t="s">
        <v>2617</v>
      </c>
      <c r="D1287" s="2">
        <v>15</v>
      </c>
      <c r="E1287" s="21"/>
      <c r="F1287" s="2">
        <f t="shared" si="28"/>
        <v>0</v>
      </c>
      <c r="G1287" s="3" t="str">
        <f>HYPERLINK("http://tmmp-catalog.com.ua/katalog/7/15318/","фото")</f>
        <v>фото</v>
      </c>
      <c r="H1287" s="22"/>
    </row>
    <row r="1288" spans="1:8" ht="23.25" x14ac:dyDescent="0.2">
      <c r="A1288" s="18"/>
      <c r="B1288" s="51"/>
      <c r="C1288" s="56" t="s">
        <v>34</v>
      </c>
      <c r="D1288" s="52"/>
      <c r="E1288" s="53"/>
      <c r="F1288" s="52"/>
      <c r="G1288" s="54"/>
      <c r="H1288" s="55"/>
    </row>
    <row r="1289" spans="1:8" ht="15" x14ac:dyDescent="0.2">
      <c r="A1289" s="18"/>
      <c r="B1289" s="19" t="s">
        <v>2618</v>
      </c>
      <c r="C1289" s="20" t="s">
        <v>2619</v>
      </c>
      <c r="D1289" s="2">
        <v>135</v>
      </c>
      <c r="E1289" s="21"/>
      <c r="F1289" s="2">
        <f>cena*zakaz</f>
        <v>0</v>
      </c>
      <c r="G1289" s="3" t="str">
        <f>HYPERLINK("http://tmmp-catalog.com.ua/katalog/37/18753/","фото")</f>
        <v>фото</v>
      </c>
      <c r="H1289" s="22"/>
    </row>
    <row r="1290" spans="1:8" ht="23.25" x14ac:dyDescent="0.2">
      <c r="A1290" s="18"/>
      <c r="B1290" s="51"/>
      <c r="C1290" s="56" t="s">
        <v>28</v>
      </c>
      <c r="D1290" s="52"/>
      <c r="E1290" s="53"/>
      <c r="F1290" s="52"/>
      <c r="G1290" s="54"/>
      <c r="H1290" s="55"/>
    </row>
    <row r="1291" spans="1:8" ht="15" x14ac:dyDescent="0.2">
      <c r="A1291" s="18"/>
      <c r="B1291" s="19" t="s">
        <v>2620</v>
      </c>
      <c r="C1291" s="20" t="s">
        <v>2621</v>
      </c>
      <c r="D1291" s="2">
        <v>9.5</v>
      </c>
      <c r="E1291" s="21"/>
      <c r="F1291" s="2">
        <f t="shared" ref="F1291:F1354" si="29">cena*zakaz</f>
        <v>0</v>
      </c>
      <c r="G1291" s="3" t="str">
        <f>HYPERLINK("http://tmmp-catalog.com.ua/katalog/26/17720/","фото")</f>
        <v>фото</v>
      </c>
      <c r="H1291" s="22"/>
    </row>
    <row r="1292" spans="1:8" ht="15" x14ac:dyDescent="0.2">
      <c r="A1292" s="18">
        <v>2000000020068</v>
      </c>
      <c r="B1292" s="19" t="s">
        <v>2622</v>
      </c>
      <c r="C1292" s="20" t="s">
        <v>2623</v>
      </c>
      <c r="D1292" s="2">
        <v>7.5</v>
      </c>
      <c r="E1292" s="21"/>
      <c r="F1292" s="2">
        <f t="shared" si="29"/>
        <v>0</v>
      </c>
      <c r="G1292" s="3" t="str">
        <f>HYPERLINK("http://tmmp-catalog.com.ua/katalog/25/16898/","фото")</f>
        <v>фото</v>
      </c>
      <c r="H1292" s="22"/>
    </row>
    <row r="1293" spans="1:8" ht="15" x14ac:dyDescent="0.2">
      <c r="A1293" s="18">
        <v>2000000017624</v>
      </c>
      <c r="B1293" s="19" t="s">
        <v>2624</v>
      </c>
      <c r="C1293" s="20" t="s">
        <v>2625</v>
      </c>
      <c r="D1293" s="2">
        <v>7.5</v>
      </c>
      <c r="E1293" s="21"/>
      <c r="F1293" s="2">
        <f t="shared" si="29"/>
        <v>0</v>
      </c>
      <c r="G1293" s="3" t="str">
        <f>HYPERLINK("http://tmmp-catalog.com.ua/katalog/25/13715/","фото")</f>
        <v>фото</v>
      </c>
      <c r="H1293" s="22"/>
    </row>
    <row r="1294" spans="1:8" ht="15" x14ac:dyDescent="0.2">
      <c r="A1294" s="18">
        <v>2000000017631</v>
      </c>
      <c r="B1294" s="19" t="s">
        <v>2626</v>
      </c>
      <c r="C1294" s="20" t="s">
        <v>2627</v>
      </c>
      <c r="D1294" s="2">
        <v>11</v>
      </c>
      <c r="E1294" s="21"/>
      <c r="F1294" s="2">
        <f t="shared" si="29"/>
        <v>0</v>
      </c>
      <c r="G1294" s="3" t="str">
        <f>HYPERLINK("http://tmmp-catalog.com.ua/katalog/25/13716/","фото")</f>
        <v>фото</v>
      </c>
      <c r="H1294" s="22"/>
    </row>
    <row r="1295" spans="1:8" ht="15" x14ac:dyDescent="0.2">
      <c r="A1295" s="18">
        <v>2000000017648</v>
      </c>
      <c r="B1295" s="19" t="s">
        <v>2628</v>
      </c>
      <c r="C1295" s="20" t="s">
        <v>2629</v>
      </c>
      <c r="D1295" s="2">
        <v>17</v>
      </c>
      <c r="E1295" s="21"/>
      <c r="F1295" s="2">
        <f t="shared" si="29"/>
        <v>0</v>
      </c>
      <c r="G1295" s="3" t="str">
        <f>HYPERLINK("http://tmmp-catalog.com.ua/katalog/25/13717/","фото")</f>
        <v>фото</v>
      </c>
      <c r="H1295" s="22"/>
    </row>
    <row r="1296" spans="1:8" ht="15" x14ac:dyDescent="0.2">
      <c r="A1296" s="18">
        <v>2000000017655</v>
      </c>
      <c r="B1296" s="19" t="s">
        <v>2630</v>
      </c>
      <c r="C1296" s="20" t="s">
        <v>2631</v>
      </c>
      <c r="D1296" s="2">
        <v>17</v>
      </c>
      <c r="E1296" s="21"/>
      <c r="F1296" s="2">
        <f t="shared" si="29"/>
        <v>0</v>
      </c>
      <c r="G1296" s="3" t="str">
        <f>HYPERLINK("http://tmmp-catalog.com.ua/katalog/25/13718/","фото")</f>
        <v>фото</v>
      </c>
      <c r="H1296" s="22"/>
    </row>
    <row r="1297" spans="1:8" ht="15" x14ac:dyDescent="0.2">
      <c r="A1297" s="18"/>
      <c r="B1297" s="19" t="s">
        <v>2632</v>
      </c>
      <c r="C1297" s="20" t="s">
        <v>2633</v>
      </c>
      <c r="D1297" s="2">
        <v>17</v>
      </c>
      <c r="E1297" s="21"/>
      <c r="F1297" s="2">
        <f t="shared" si="29"/>
        <v>0</v>
      </c>
      <c r="G1297" s="3" t="str">
        <f>HYPERLINK("http://tmmp-catalog.com.ua/katalog/37/18277/","фото")</f>
        <v>фото</v>
      </c>
      <c r="H1297" s="22"/>
    </row>
    <row r="1298" spans="1:8" ht="15" x14ac:dyDescent="0.2">
      <c r="A1298" s="18">
        <v>2000000020914</v>
      </c>
      <c r="B1298" s="19" t="s">
        <v>2634</v>
      </c>
      <c r="C1298" s="20" t="s">
        <v>2635</v>
      </c>
      <c r="D1298" s="2">
        <v>1.8</v>
      </c>
      <c r="E1298" s="21"/>
      <c r="F1298" s="2">
        <f t="shared" si="29"/>
        <v>0</v>
      </c>
      <c r="G1298" s="3" t="str">
        <f>HYPERLINK("http://tmmp-catalog.com.ua/katalog/26/14472/","фото")</f>
        <v>фото</v>
      </c>
      <c r="H1298" s="22"/>
    </row>
    <row r="1299" spans="1:8" ht="15" x14ac:dyDescent="0.2">
      <c r="A1299" s="18">
        <v>2000000017662</v>
      </c>
      <c r="B1299" s="19" t="s">
        <v>2636</v>
      </c>
      <c r="C1299" s="20" t="s">
        <v>2637</v>
      </c>
      <c r="D1299" s="2">
        <v>6.15</v>
      </c>
      <c r="E1299" s="21"/>
      <c r="F1299" s="2">
        <f t="shared" si="29"/>
        <v>0</v>
      </c>
      <c r="G1299" s="3" t="str">
        <f>HYPERLINK("http://tmmp-catalog.com.ua/katalog/25/13719/","фото")</f>
        <v>фото</v>
      </c>
      <c r="H1299" s="22"/>
    </row>
    <row r="1300" spans="1:8" ht="15" x14ac:dyDescent="0.2">
      <c r="A1300" s="18">
        <v>2000000017686</v>
      </c>
      <c r="B1300" s="19" t="s">
        <v>2638</v>
      </c>
      <c r="C1300" s="20" t="s">
        <v>2639</v>
      </c>
      <c r="D1300" s="2">
        <v>18.5</v>
      </c>
      <c r="E1300" s="21"/>
      <c r="F1300" s="2">
        <f t="shared" si="29"/>
        <v>0</v>
      </c>
      <c r="G1300" s="3" t="str">
        <f>HYPERLINK("http://tmmp-catalog.com.ua/katalog/25/13721/","фото")</f>
        <v>фото</v>
      </c>
      <c r="H1300" s="22"/>
    </row>
    <row r="1301" spans="1:8" ht="15" x14ac:dyDescent="0.2">
      <c r="A1301" s="18">
        <v>2000000017693</v>
      </c>
      <c r="B1301" s="19" t="s">
        <v>2640</v>
      </c>
      <c r="C1301" s="20" t="s">
        <v>2641</v>
      </c>
      <c r="D1301" s="2">
        <v>19</v>
      </c>
      <c r="E1301" s="21"/>
      <c r="F1301" s="2">
        <f t="shared" si="29"/>
        <v>0</v>
      </c>
      <c r="G1301" s="3" t="str">
        <f>HYPERLINK("http://tmmp-catalog.com.ua/katalog/25/13722/","фото")</f>
        <v>фото</v>
      </c>
      <c r="H1301" s="22"/>
    </row>
    <row r="1302" spans="1:8" ht="15" x14ac:dyDescent="0.2">
      <c r="A1302" s="18">
        <v>2000000017709</v>
      </c>
      <c r="B1302" s="19" t="s">
        <v>2642</v>
      </c>
      <c r="C1302" s="20" t="s">
        <v>2643</v>
      </c>
      <c r="D1302" s="2">
        <v>19</v>
      </c>
      <c r="E1302" s="21"/>
      <c r="F1302" s="2">
        <f t="shared" si="29"/>
        <v>0</v>
      </c>
      <c r="G1302" s="3" t="str">
        <f>HYPERLINK("http://tmmp-catalog.com.ua/katalog/25/13723/","фото")</f>
        <v>фото</v>
      </c>
      <c r="H1302" s="22"/>
    </row>
    <row r="1303" spans="1:8" ht="15" x14ac:dyDescent="0.2">
      <c r="A1303" s="18">
        <v>2000000022475</v>
      </c>
      <c r="B1303" s="19" t="s">
        <v>2644</v>
      </c>
      <c r="C1303" s="20" t="s">
        <v>2645</v>
      </c>
      <c r="D1303" s="2">
        <v>15</v>
      </c>
      <c r="E1303" s="21"/>
      <c r="F1303" s="2">
        <f t="shared" si="29"/>
        <v>0</v>
      </c>
      <c r="G1303" s="3" t="str">
        <f>HYPERLINK("http://tmmp-catalog.com.ua/katalog/28/15094/","фото")</f>
        <v>фото</v>
      </c>
      <c r="H1303" s="22"/>
    </row>
    <row r="1304" spans="1:8" ht="15" x14ac:dyDescent="0.2">
      <c r="A1304" s="18">
        <v>2000000023762</v>
      </c>
      <c r="B1304" s="19" t="s">
        <v>2646</v>
      </c>
      <c r="C1304" s="20" t="s">
        <v>2647</v>
      </c>
      <c r="D1304" s="2">
        <v>19</v>
      </c>
      <c r="E1304" s="21"/>
      <c r="F1304" s="2">
        <f t="shared" si="29"/>
        <v>0</v>
      </c>
      <c r="G1304" s="3" t="str">
        <f>HYPERLINK("http://tmmp-catalog.com.ua/katalog/28/16756/","фото")</f>
        <v>фото</v>
      </c>
      <c r="H1304" s="22"/>
    </row>
    <row r="1305" spans="1:8" ht="15" x14ac:dyDescent="0.2">
      <c r="A1305" s="18"/>
      <c r="B1305" s="19" t="s">
        <v>2648</v>
      </c>
      <c r="C1305" s="20" t="s">
        <v>2649</v>
      </c>
      <c r="D1305" s="2">
        <v>10</v>
      </c>
      <c r="E1305" s="21"/>
      <c r="F1305" s="2">
        <f t="shared" si="29"/>
        <v>0</v>
      </c>
      <c r="G1305" s="3" t="str">
        <f>HYPERLINK("http://tmmp-catalog.com.ua/katalog/37/18281/","фото")</f>
        <v>фото</v>
      </c>
      <c r="H1305" s="22"/>
    </row>
    <row r="1306" spans="1:8" ht="15" x14ac:dyDescent="0.2">
      <c r="A1306" s="18"/>
      <c r="B1306" s="19" t="s">
        <v>2650</v>
      </c>
      <c r="C1306" s="20" t="s">
        <v>2651</v>
      </c>
      <c r="D1306" s="2">
        <v>6</v>
      </c>
      <c r="E1306" s="21"/>
      <c r="F1306" s="2">
        <f t="shared" si="29"/>
        <v>0</v>
      </c>
      <c r="G1306" s="3" t="str">
        <f>HYPERLINK("http://tmmp-catalog.com.ua/katalog/26/17551/","фото")</f>
        <v>фото</v>
      </c>
      <c r="H1306" s="22"/>
    </row>
    <row r="1307" spans="1:8" ht="15" x14ac:dyDescent="0.2">
      <c r="A1307" s="18">
        <v>2000000017723</v>
      </c>
      <c r="B1307" s="19" t="s">
        <v>2652</v>
      </c>
      <c r="C1307" s="20" t="s">
        <v>2653</v>
      </c>
      <c r="D1307" s="2">
        <v>11</v>
      </c>
      <c r="E1307" s="21"/>
      <c r="F1307" s="2">
        <f t="shared" si="29"/>
        <v>0</v>
      </c>
      <c r="G1307" s="3" t="str">
        <f>HYPERLINK("http://tmmp-catalog.com.ua/katalog/25/13725/","фото")</f>
        <v>фото</v>
      </c>
      <c r="H1307" s="22"/>
    </row>
    <row r="1308" spans="1:8" ht="15" x14ac:dyDescent="0.2">
      <c r="A1308" s="18">
        <v>2000000017730</v>
      </c>
      <c r="B1308" s="19" t="s">
        <v>2654</v>
      </c>
      <c r="C1308" s="20" t="s">
        <v>2655</v>
      </c>
      <c r="D1308" s="2">
        <v>3.5</v>
      </c>
      <c r="E1308" s="21"/>
      <c r="F1308" s="2">
        <f t="shared" si="29"/>
        <v>0</v>
      </c>
      <c r="G1308" s="3" t="str">
        <f>HYPERLINK("http://tmmp-catalog.com.ua/katalog/25/13726/","фото")</f>
        <v>фото</v>
      </c>
      <c r="H1308" s="22"/>
    </row>
    <row r="1309" spans="1:8" ht="15" x14ac:dyDescent="0.2">
      <c r="A1309" s="18">
        <v>2000000022499</v>
      </c>
      <c r="B1309" s="19" t="s">
        <v>2656</v>
      </c>
      <c r="C1309" s="20" t="s">
        <v>2657</v>
      </c>
      <c r="D1309" s="2">
        <v>3.5</v>
      </c>
      <c r="E1309" s="21"/>
      <c r="F1309" s="2">
        <f t="shared" si="29"/>
        <v>0</v>
      </c>
      <c r="G1309" s="3" t="str">
        <f>HYPERLINK("http://tmmp-catalog.com.ua/katalog/28/15096/","фото")</f>
        <v>фото</v>
      </c>
      <c r="H1309" s="22"/>
    </row>
    <row r="1310" spans="1:8" ht="15" x14ac:dyDescent="0.2">
      <c r="A1310" s="18">
        <v>2000000020495</v>
      </c>
      <c r="B1310" s="19" t="s">
        <v>2658</v>
      </c>
      <c r="C1310" s="20" t="s">
        <v>2659</v>
      </c>
      <c r="D1310" s="2">
        <v>4</v>
      </c>
      <c r="E1310" s="21"/>
      <c r="F1310" s="2">
        <f t="shared" si="29"/>
        <v>0</v>
      </c>
      <c r="G1310" s="3" t="str">
        <f>HYPERLINK("http://tmmp-catalog.com.ua/katalog/26/14429/","фото")</f>
        <v>фото</v>
      </c>
      <c r="H1310" s="22"/>
    </row>
    <row r="1311" spans="1:8" ht="15" x14ac:dyDescent="0.2">
      <c r="A1311" s="18">
        <v>2000000022505</v>
      </c>
      <c r="B1311" s="19" t="s">
        <v>2660</v>
      </c>
      <c r="C1311" s="20" t="s">
        <v>2661</v>
      </c>
      <c r="D1311" s="2">
        <v>4</v>
      </c>
      <c r="E1311" s="21"/>
      <c r="F1311" s="2">
        <f t="shared" si="29"/>
        <v>0</v>
      </c>
      <c r="G1311" s="3" t="str">
        <f>HYPERLINK("http://tmmp-catalog.com.ua/katalog/28/15097/","фото")</f>
        <v>фото</v>
      </c>
      <c r="H1311" s="22"/>
    </row>
    <row r="1312" spans="1:8" ht="15" x14ac:dyDescent="0.2">
      <c r="A1312" s="18">
        <v>2000000017761</v>
      </c>
      <c r="B1312" s="19" t="s">
        <v>2662</v>
      </c>
      <c r="C1312" s="20" t="s">
        <v>2663</v>
      </c>
      <c r="D1312" s="2">
        <v>8</v>
      </c>
      <c r="E1312" s="21"/>
      <c r="F1312" s="2">
        <f t="shared" si="29"/>
        <v>0</v>
      </c>
      <c r="G1312" s="3" t="str">
        <f>HYPERLINK("http://tmmp-catalog.com.ua/katalog/25/13729/","фото")</f>
        <v>фото</v>
      </c>
      <c r="H1312" s="22"/>
    </row>
    <row r="1313" spans="1:8" ht="15" x14ac:dyDescent="0.2">
      <c r="A1313" s="18">
        <v>2000000020501</v>
      </c>
      <c r="B1313" s="19" t="s">
        <v>2664</v>
      </c>
      <c r="C1313" s="20" t="s">
        <v>2665</v>
      </c>
      <c r="D1313" s="2">
        <v>5</v>
      </c>
      <c r="E1313" s="21"/>
      <c r="F1313" s="2">
        <f t="shared" si="29"/>
        <v>0</v>
      </c>
      <c r="G1313" s="3" t="str">
        <f>HYPERLINK("http://tmmp-catalog.com.ua/katalog/26/14430/","фото")</f>
        <v>фото</v>
      </c>
      <c r="H1313" s="22"/>
    </row>
    <row r="1314" spans="1:8" ht="15" x14ac:dyDescent="0.2">
      <c r="A1314" s="18">
        <v>2000000020518</v>
      </c>
      <c r="B1314" s="19" t="s">
        <v>2666</v>
      </c>
      <c r="C1314" s="20" t="s">
        <v>2667</v>
      </c>
      <c r="D1314" s="2">
        <v>8</v>
      </c>
      <c r="E1314" s="21"/>
      <c r="F1314" s="2">
        <f t="shared" si="29"/>
        <v>0</v>
      </c>
      <c r="G1314" s="3" t="str">
        <f>HYPERLINK("http://tmmp-catalog.com.ua/katalog/26/14431/","фото")</f>
        <v>фото</v>
      </c>
      <c r="H1314" s="22"/>
    </row>
    <row r="1315" spans="1:8" ht="15" x14ac:dyDescent="0.2">
      <c r="A1315" s="18">
        <v>2000000022512</v>
      </c>
      <c r="B1315" s="19" t="s">
        <v>2668</v>
      </c>
      <c r="C1315" s="20" t="s">
        <v>2669</v>
      </c>
      <c r="D1315" s="2">
        <v>6</v>
      </c>
      <c r="E1315" s="21"/>
      <c r="F1315" s="2">
        <f t="shared" si="29"/>
        <v>0</v>
      </c>
      <c r="G1315" s="3" t="str">
        <f>HYPERLINK("http://tmmp-catalog.com.ua/katalog/28/15098/","фото")</f>
        <v>фото</v>
      </c>
      <c r="H1315" s="22"/>
    </row>
    <row r="1316" spans="1:8" ht="15" x14ac:dyDescent="0.2">
      <c r="A1316" s="18">
        <v>2000000017778</v>
      </c>
      <c r="B1316" s="19" t="s">
        <v>2670</v>
      </c>
      <c r="C1316" s="20" t="s">
        <v>2671</v>
      </c>
      <c r="D1316" s="2">
        <v>19</v>
      </c>
      <c r="E1316" s="21"/>
      <c r="F1316" s="2">
        <f t="shared" si="29"/>
        <v>0</v>
      </c>
      <c r="G1316" s="3" t="str">
        <f>HYPERLINK("http://tmmp-catalog.com.ua/katalog/25/13730/","фото")</f>
        <v>фото</v>
      </c>
      <c r="H1316" s="22"/>
    </row>
    <row r="1317" spans="1:8" ht="15" x14ac:dyDescent="0.2">
      <c r="A1317" s="18">
        <v>2000000017785</v>
      </c>
      <c r="B1317" s="19" t="s">
        <v>2672</v>
      </c>
      <c r="C1317" s="20" t="s">
        <v>2673</v>
      </c>
      <c r="D1317" s="2">
        <v>13.6</v>
      </c>
      <c r="E1317" s="21"/>
      <c r="F1317" s="2">
        <f t="shared" si="29"/>
        <v>0</v>
      </c>
      <c r="G1317" s="3" t="str">
        <f>HYPERLINK("http://tmmp-catalog.com.ua/katalog/25/13731/","фото")</f>
        <v>фото</v>
      </c>
      <c r="H1317" s="22"/>
    </row>
    <row r="1318" spans="1:8" ht="15" x14ac:dyDescent="0.2">
      <c r="A1318" s="18">
        <v>2000000017792</v>
      </c>
      <c r="B1318" s="19" t="s">
        <v>2674</v>
      </c>
      <c r="C1318" s="20" t="s">
        <v>2675</v>
      </c>
      <c r="D1318" s="2">
        <v>19</v>
      </c>
      <c r="E1318" s="21"/>
      <c r="F1318" s="2">
        <f t="shared" si="29"/>
        <v>0</v>
      </c>
      <c r="G1318" s="3" t="str">
        <f>HYPERLINK("http://tmmp-catalog.com.ua/katalog/25/13732/","фото")</f>
        <v>фото</v>
      </c>
      <c r="H1318" s="22"/>
    </row>
    <row r="1319" spans="1:8" ht="15" x14ac:dyDescent="0.2">
      <c r="A1319" s="18">
        <v>2000000017808</v>
      </c>
      <c r="B1319" s="19" t="s">
        <v>2676</v>
      </c>
      <c r="C1319" s="20" t="s">
        <v>2677</v>
      </c>
      <c r="D1319" s="2">
        <v>35</v>
      </c>
      <c r="E1319" s="21"/>
      <c r="F1319" s="2">
        <f t="shared" si="29"/>
        <v>0</v>
      </c>
      <c r="G1319" s="3" t="str">
        <f>HYPERLINK("http://tmmp-catalog.com.ua/katalog/25/13733/","фото")</f>
        <v>фото</v>
      </c>
      <c r="H1319" s="22"/>
    </row>
    <row r="1320" spans="1:8" ht="15" x14ac:dyDescent="0.2">
      <c r="A1320" s="18">
        <v>2000000020525</v>
      </c>
      <c r="B1320" s="19" t="s">
        <v>2678</v>
      </c>
      <c r="C1320" s="20" t="s">
        <v>2679</v>
      </c>
      <c r="D1320" s="2">
        <v>21</v>
      </c>
      <c r="E1320" s="21"/>
      <c r="F1320" s="2">
        <f t="shared" si="29"/>
        <v>0</v>
      </c>
      <c r="G1320" s="3" t="str">
        <f>HYPERLINK("http://tmmp-catalog.com.ua/katalog/26/14432/","фото")</f>
        <v>фото</v>
      </c>
      <c r="H1320" s="22"/>
    </row>
    <row r="1321" spans="1:8" ht="15" x14ac:dyDescent="0.2">
      <c r="A1321" s="18"/>
      <c r="B1321" s="19" t="s">
        <v>2680</v>
      </c>
      <c r="C1321" s="20" t="s">
        <v>2681</v>
      </c>
      <c r="D1321" s="2">
        <v>25</v>
      </c>
      <c r="E1321" s="21"/>
      <c r="F1321" s="2">
        <f t="shared" si="29"/>
        <v>0</v>
      </c>
      <c r="G1321" s="3" t="str">
        <f>HYPERLINK("http://tmmp-catalog.com.ua/katalog/37/18600/","фото")</f>
        <v>фото</v>
      </c>
      <c r="H1321" s="22"/>
    </row>
    <row r="1322" spans="1:8" ht="15" x14ac:dyDescent="0.2">
      <c r="A1322" s="18">
        <v>2000000022536</v>
      </c>
      <c r="B1322" s="19" t="s">
        <v>2682</v>
      </c>
      <c r="C1322" s="20" t="s">
        <v>2683</v>
      </c>
      <c r="D1322" s="2">
        <v>16</v>
      </c>
      <c r="E1322" s="21"/>
      <c r="F1322" s="2">
        <f t="shared" si="29"/>
        <v>0</v>
      </c>
      <c r="G1322" s="3" t="str">
        <f>HYPERLINK("http://tmmp-catalog.com.ua/katalog/28/15100/","фото")</f>
        <v>фото</v>
      </c>
      <c r="H1322" s="22"/>
    </row>
    <row r="1323" spans="1:8" ht="15" x14ac:dyDescent="0.2">
      <c r="A1323" s="18">
        <v>2000000017839</v>
      </c>
      <c r="B1323" s="19" t="s">
        <v>2684</v>
      </c>
      <c r="C1323" s="20" t="s">
        <v>2685</v>
      </c>
      <c r="D1323" s="2">
        <v>5.5</v>
      </c>
      <c r="E1323" s="21"/>
      <c r="F1323" s="2">
        <f t="shared" si="29"/>
        <v>0</v>
      </c>
      <c r="G1323" s="3" t="str">
        <f>HYPERLINK("http://tmmp-catalog.com.ua/katalog/25/13736/","фото")</f>
        <v>фото</v>
      </c>
      <c r="H1323" s="22"/>
    </row>
    <row r="1324" spans="1:8" ht="15" x14ac:dyDescent="0.2">
      <c r="A1324" s="18">
        <v>2000000017846</v>
      </c>
      <c r="B1324" s="19" t="s">
        <v>2686</v>
      </c>
      <c r="C1324" s="20" t="s">
        <v>2687</v>
      </c>
      <c r="D1324" s="2">
        <v>7.5</v>
      </c>
      <c r="E1324" s="21"/>
      <c r="F1324" s="2">
        <f t="shared" si="29"/>
        <v>0</v>
      </c>
      <c r="G1324" s="3" t="str">
        <f>HYPERLINK("http://tmmp-catalog.com.ua/katalog/25/13737/","фото")</f>
        <v>фото</v>
      </c>
      <c r="H1324" s="22"/>
    </row>
    <row r="1325" spans="1:8" ht="15" x14ac:dyDescent="0.2">
      <c r="A1325" s="18">
        <v>2000000023793</v>
      </c>
      <c r="B1325" s="19" t="s">
        <v>2688</v>
      </c>
      <c r="C1325" s="20" t="s">
        <v>2689</v>
      </c>
      <c r="D1325" s="2">
        <v>5.8</v>
      </c>
      <c r="E1325" s="21"/>
      <c r="F1325" s="2">
        <f t="shared" si="29"/>
        <v>0</v>
      </c>
      <c r="G1325" s="3" t="str">
        <f>HYPERLINK("http://tmmp-catalog.com.ua/katalog/28/16760/","фото")</f>
        <v>фото</v>
      </c>
      <c r="H1325" s="22"/>
    </row>
    <row r="1326" spans="1:8" ht="15" x14ac:dyDescent="0.2">
      <c r="A1326" s="18">
        <v>2000000022543</v>
      </c>
      <c r="B1326" s="19" t="s">
        <v>2690</v>
      </c>
      <c r="C1326" s="20" t="s">
        <v>2691</v>
      </c>
      <c r="D1326" s="2">
        <v>1.6</v>
      </c>
      <c r="E1326" s="21"/>
      <c r="F1326" s="2">
        <f t="shared" si="29"/>
        <v>0</v>
      </c>
      <c r="G1326" s="3" t="str">
        <f>HYPERLINK("http://tmmp-catalog.com.ua/katalog/28/15101/","фото")</f>
        <v>фото</v>
      </c>
      <c r="H1326" s="22"/>
    </row>
    <row r="1327" spans="1:8" ht="15" x14ac:dyDescent="0.2">
      <c r="A1327" s="18">
        <v>2000000017853</v>
      </c>
      <c r="B1327" s="19" t="s">
        <v>2692</v>
      </c>
      <c r="C1327" s="20" t="s">
        <v>2693</v>
      </c>
      <c r="D1327" s="2">
        <v>1.5</v>
      </c>
      <c r="E1327" s="21"/>
      <c r="F1327" s="2">
        <f t="shared" si="29"/>
        <v>0</v>
      </c>
      <c r="G1327" s="3" t="str">
        <f>HYPERLINK("http://tmmp-catalog.com.ua/katalog/25/13738/","фото")</f>
        <v>фото</v>
      </c>
      <c r="H1327" s="22"/>
    </row>
    <row r="1328" spans="1:8" ht="15" x14ac:dyDescent="0.2">
      <c r="A1328" s="18">
        <v>2000000021867</v>
      </c>
      <c r="B1328" s="19" t="s">
        <v>2694</v>
      </c>
      <c r="C1328" s="20" t="s">
        <v>2695</v>
      </c>
      <c r="D1328" s="2">
        <v>3</v>
      </c>
      <c r="E1328" s="21"/>
      <c r="F1328" s="2">
        <f t="shared" si="29"/>
        <v>0</v>
      </c>
      <c r="G1328" s="3" t="str">
        <f>HYPERLINK("http://tmmp-catalog.com.ua/katalog/26/16856/","фото")</f>
        <v>фото</v>
      </c>
      <c r="H1328" s="22"/>
    </row>
    <row r="1329" spans="1:8" ht="15" x14ac:dyDescent="0.2">
      <c r="A1329" s="18"/>
      <c r="B1329" s="19" t="s">
        <v>2696</v>
      </c>
      <c r="C1329" s="20" t="s">
        <v>2697</v>
      </c>
      <c r="D1329" s="2">
        <v>14</v>
      </c>
      <c r="E1329" s="21"/>
      <c r="F1329" s="2">
        <f t="shared" si="29"/>
        <v>0</v>
      </c>
      <c r="G1329" s="3" t="str">
        <f>HYPERLINK("http://tmmp-catalog.com.ua/katalog/25/17755/","фото")</f>
        <v>фото</v>
      </c>
      <c r="H1329" s="22"/>
    </row>
    <row r="1330" spans="1:8" ht="15" x14ac:dyDescent="0.2">
      <c r="A1330" s="18"/>
      <c r="B1330" s="19" t="s">
        <v>2698</v>
      </c>
      <c r="C1330" s="20" t="s">
        <v>2699</v>
      </c>
      <c r="D1330" s="2">
        <v>14</v>
      </c>
      <c r="E1330" s="21"/>
      <c r="F1330" s="2">
        <f t="shared" si="29"/>
        <v>0</v>
      </c>
      <c r="G1330" s="3" t="str">
        <f>HYPERLINK("http://tmmp-catalog.com.ua/katalog/25/18803/","фото")</f>
        <v>фото</v>
      </c>
      <c r="H1330" s="22"/>
    </row>
    <row r="1331" spans="1:8" ht="15" x14ac:dyDescent="0.2">
      <c r="A1331" s="18"/>
      <c r="B1331" s="19" t="s">
        <v>2700</v>
      </c>
      <c r="C1331" s="20" t="s">
        <v>2701</v>
      </c>
      <c r="D1331" s="2">
        <v>10.6</v>
      </c>
      <c r="E1331" s="21"/>
      <c r="F1331" s="2">
        <f t="shared" si="29"/>
        <v>0</v>
      </c>
      <c r="G1331" s="3" t="str">
        <f>HYPERLINK("http://tmmp-catalog.com.ua/katalog/37/18655/","фото")</f>
        <v>фото</v>
      </c>
      <c r="H1331" s="22"/>
    </row>
    <row r="1332" spans="1:8" ht="15" x14ac:dyDescent="0.2">
      <c r="A1332" s="18">
        <v>2000000020570</v>
      </c>
      <c r="B1332" s="19" t="s">
        <v>2702</v>
      </c>
      <c r="C1332" s="20" t="s">
        <v>2703</v>
      </c>
      <c r="D1332" s="2">
        <v>10.6</v>
      </c>
      <c r="E1332" s="21"/>
      <c r="F1332" s="2">
        <f t="shared" si="29"/>
        <v>0</v>
      </c>
      <c r="G1332" s="3" t="str">
        <f>HYPERLINK("http://tmmp-catalog.com.ua/katalog/26/14437/","фото")</f>
        <v>фото</v>
      </c>
      <c r="H1332" s="22"/>
    </row>
    <row r="1333" spans="1:8" ht="15" x14ac:dyDescent="0.2">
      <c r="A1333" s="18">
        <v>2000000022567</v>
      </c>
      <c r="B1333" s="19" t="s">
        <v>2704</v>
      </c>
      <c r="C1333" s="20" t="s">
        <v>2705</v>
      </c>
      <c r="D1333" s="2">
        <v>9</v>
      </c>
      <c r="E1333" s="21"/>
      <c r="F1333" s="2">
        <f t="shared" si="29"/>
        <v>0</v>
      </c>
      <c r="G1333" s="3" t="str">
        <f>HYPERLINK("http://tmmp-catalog.com.ua/katalog/28/15103/","фото")</f>
        <v>фото</v>
      </c>
      <c r="H1333" s="22"/>
    </row>
    <row r="1334" spans="1:8" ht="15" x14ac:dyDescent="0.2">
      <c r="A1334" s="18"/>
      <c r="B1334" s="19" t="s">
        <v>2706</v>
      </c>
      <c r="C1334" s="20" t="s">
        <v>2707</v>
      </c>
      <c r="D1334" s="2">
        <v>5</v>
      </c>
      <c r="E1334" s="21"/>
      <c r="F1334" s="2">
        <f t="shared" si="29"/>
        <v>0</v>
      </c>
      <c r="G1334" s="3" t="str">
        <f>HYPERLINK("http://tmmp-catalog.com.ua/katalog/26/18072/","фото")</f>
        <v>фото</v>
      </c>
      <c r="H1334" s="22"/>
    </row>
    <row r="1335" spans="1:8" ht="15" x14ac:dyDescent="0.2">
      <c r="A1335" s="18">
        <v>2000000020334</v>
      </c>
      <c r="B1335" s="19" t="s">
        <v>2708</v>
      </c>
      <c r="C1335" s="20" t="s">
        <v>2709</v>
      </c>
      <c r="D1335" s="2">
        <v>2</v>
      </c>
      <c r="E1335" s="21"/>
      <c r="F1335" s="2">
        <f t="shared" si="29"/>
        <v>0</v>
      </c>
      <c r="G1335" s="3" t="str">
        <f>HYPERLINK("http://tmmp-catalog.com.ua/katalog/25/16926/","фото")</f>
        <v>фото</v>
      </c>
      <c r="H1335" s="22"/>
    </row>
    <row r="1336" spans="1:8" ht="15" x14ac:dyDescent="0.2">
      <c r="A1336" s="18">
        <v>2000000017907</v>
      </c>
      <c r="B1336" s="19" t="s">
        <v>2710</v>
      </c>
      <c r="C1336" s="20" t="s">
        <v>2711</v>
      </c>
      <c r="D1336" s="2">
        <v>2.2999999999999998</v>
      </c>
      <c r="E1336" s="21"/>
      <c r="F1336" s="2">
        <f t="shared" si="29"/>
        <v>0</v>
      </c>
      <c r="G1336" s="3" t="str">
        <f>HYPERLINK("http://tmmp-catalog.com.ua/katalog/25/13743/","фото")</f>
        <v>фото</v>
      </c>
      <c r="H1336" s="22"/>
    </row>
    <row r="1337" spans="1:8" ht="15" x14ac:dyDescent="0.2">
      <c r="A1337" s="18">
        <v>2000000017914</v>
      </c>
      <c r="B1337" s="19" t="s">
        <v>2712</v>
      </c>
      <c r="C1337" s="20" t="s">
        <v>2713</v>
      </c>
      <c r="D1337" s="2">
        <v>3</v>
      </c>
      <c r="E1337" s="21"/>
      <c r="F1337" s="2">
        <f t="shared" si="29"/>
        <v>0</v>
      </c>
      <c r="G1337" s="3" t="str">
        <f>HYPERLINK("http://tmmp-catalog.com.ua/katalog/25/13744/","фото")</f>
        <v>фото</v>
      </c>
      <c r="H1337" s="22"/>
    </row>
    <row r="1338" spans="1:8" ht="15" x14ac:dyDescent="0.2">
      <c r="A1338" s="18">
        <v>2000000020594</v>
      </c>
      <c r="B1338" s="19" t="s">
        <v>2714</v>
      </c>
      <c r="C1338" s="20" t="s">
        <v>2715</v>
      </c>
      <c r="D1338" s="2">
        <v>3</v>
      </c>
      <c r="E1338" s="21"/>
      <c r="F1338" s="2">
        <f t="shared" si="29"/>
        <v>0</v>
      </c>
      <c r="G1338" s="3" t="str">
        <f>HYPERLINK("http://tmmp-catalog.com.ua/katalog/26/14439/","фото")</f>
        <v>фото</v>
      </c>
      <c r="H1338" s="22"/>
    </row>
    <row r="1339" spans="1:8" ht="15" x14ac:dyDescent="0.2">
      <c r="A1339" s="18">
        <v>2000000004440</v>
      </c>
      <c r="B1339" s="19" t="s">
        <v>2716</v>
      </c>
      <c r="C1339" s="20" t="s">
        <v>2717</v>
      </c>
      <c r="D1339" s="2">
        <v>3</v>
      </c>
      <c r="E1339" s="21"/>
      <c r="F1339" s="2">
        <f t="shared" si="29"/>
        <v>0</v>
      </c>
      <c r="G1339" s="3" t="str">
        <f>HYPERLINK("http://tmmp-catalog.com.ua/katalog/13/15625/","фото")</f>
        <v>фото</v>
      </c>
      <c r="H1339" s="22"/>
    </row>
    <row r="1340" spans="1:8" ht="15" x14ac:dyDescent="0.2">
      <c r="A1340" s="18">
        <v>2000000017938</v>
      </c>
      <c r="B1340" s="19" t="s">
        <v>2718</v>
      </c>
      <c r="C1340" s="20" t="s">
        <v>2719</v>
      </c>
      <c r="D1340" s="2">
        <v>15</v>
      </c>
      <c r="E1340" s="21"/>
      <c r="F1340" s="2">
        <f t="shared" si="29"/>
        <v>0</v>
      </c>
      <c r="G1340" s="3" t="str">
        <f>HYPERLINK("http://tmmp-catalog.com.ua/katalog/25/13746/","фото")</f>
        <v>фото</v>
      </c>
      <c r="H1340" s="22"/>
    </row>
    <row r="1341" spans="1:8" ht="15" x14ac:dyDescent="0.2">
      <c r="A1341" s="18">
        <v>2000000020358</v>
      </c>
      <c r="B1341" s="19" t="s">
        <v>2720</v>
      </c>
      <c r="C1341" s="20" t="s">
        <v>2721</v>
      </c>
      <c r="D1341" s="2">
        <v>11</v>
      </c>
      <c r="E1341" s="21"/>
      <c r="F1341" s="2">
        <f t="shared" si="29"/>
        <v>0</v>
      </c>
      <c r="G1341" s="3" t="str">
        <f>HYPERLINK("http://tmmp-catalog.com.ua/katalog/25/16928/","фото")</f>
        <v>фото</v>
      </c>
      <c r="H1341" s="22"/>
    </row>
    <row r="1342" spans="1:8" ht="15" x14ac:dyDescent="0.2">
      <c r="A1342" s="18">
        <v>2000000020648</v>
      </c>
      <c r="B1342" s="19" t="s">
        <v>2722</v>
      </c>
      <c r="C1342" s="20" t="s">
        <v>2723</v>
      </c>
      <c r="D1342" s="2">
        <v>24</v>
      </c>
      <c r="E1342" s="21"/>
      <c r="F1342" s="2">
        <f t="shared" si="29"/>
        <v>0</v>
      </c>
      <c r="G1342" s="3" t="str">
        <f>HYPERLINK("http://tmmp-catalog.com.ua/katalog/26/14444/","фото")</f>
        <v>фото</v>
      </c>
      <c r="H1342" s="22"/>
    </row>
    <row r="1343" spans="1:8" ht="15" x14ac:dyDescent="0.2">
      <c r="A1343" s="18">
        <v>2000000021959</v>
      </c>
      <c r="B1343" s="19" t="s">
        <v>2724</v>
      </c>
      <c r="C1343" s="20" t="s">
        <v>2725</v>
      </c>
      <c r="D1343" s="2">
        <v>11</v>
      </c>
      <c r="E1343" s="21"/>
      <c r="F1343" s="2">
        <f t="shared" si="29"/>
        <v>0</v>
      </c>
      <c r="G1343" s="3" t="str">
        <f>HYPERLINK("http://tmmp-catalog.com.ua/katalog/26/16865/","фото")</f>
        <v>фото</v>
      </c>
      <c r="H1343" s="22"/>
    </row>
    <row r="1344" spans="1:8" ht="15" x14ac:dyDescent="0.2">
      <c r="A1344" s="18">
        <v>2000000022574</v>
      </c>
      <c r="B1344" s="19" t="s">
        <v>2726</v>
      </c>
      <c r="C1344" s="20" t="s">
        <v>2727</v>
      </c>
      <c r="D1344" s="2">
        <v>12.5</v>
      </c>
      <c r="E1344" s="21"/>
      <c r="F1344" s="2">
        <f t="shared" si="29"/>
        <v>0</v>
      </c>
      <c r="G1344" s="3" t="str">
        <f>HYPERLINK("http://tmmp-catalog.com.ua/katalog/28/15104/","фото")</f>
        <v>фото</v>
      </c>
      <c r="H1344" s="22"/>
    </row>
    <row r="1345" spans="1:8" ht="15" x14ac:dyDescent="0.2">
      <c r="A1345" s="18">
        <v>2000000032979</v>
      </c>
      <c r="B1345" s="19" t="s">
        <v>2728</v>
      </c>
      <c r="C1345" s="20" t="s">
        <v>2729</v>
      </c>
      <c r="D1345" s="2">
        <v>14</v>
      </c>
      <c r="E1345" s="21"/>
      <c r="F1345" s="2">
        <f t="shared" si="29"/>
        <v>0</v>
      </c>
      <c r="G1345" s="3" t="str">
        <f>HYPERLINK("http://tmmp-catalog.com.ua/katalog/28/13518/","фото")</f>
        <v>фото</v>
      </c>
      <c r="H1345" s="22"/>
    </row>
    <row r="1346" spans="1:8" ht="15" x14ac:dyDescent="0.2">
      <c r="A1346" s="18"/>
      <c r="B1346" s="19" t="s">
        <v>2730</v>
      </c>
      <c r="C1346" s="20" t="s">
        <v>2731</v>
      </c>
      <c r="D1346" s="2">
        <v>14</v>
      </c>
      <c r="E1346" s="21"/>
      <c r="F1346" s="2">
        <f t="shared" si="29"/>
        <v>0</v>
      </c>
      <c r="G1346" s="3" t="str">
        <f>HYPERLINK("http://tmmp-catalog.com.ua/katalog/37/18651/","фото")</f>
        <v>фото</v>
      </c>
      <c r="H1346" s="22"/>
    </row>
    <row r="1347" spans="1:8" ht="15" x14ac:dyDescent="0.2">
      <c r="A1347" s="18">
        <v>2000000017952</v>
      </c>
      <c r="B1347" s="19" t="s">
        <v>2732</v>
      </c>
      <c r="C1347" s="20" t="s">
        <v>2733</v>
      </c>
      <c r="D1347" s="2">
        <v>1.6</v>
      </c>
      <c r="E1347" s="21"/>
      <c r="F1347" s="2">
        <f t="shared" si="29"/>
        <v>0</v>
      </c>
      <c r="G1347" s="3" t="str">
        <f>HYPERLINK("http://tmmp-catalog.com.ua/katalog/25/13748/","фото")</f>
        <v>фото</v>
      </c>
      <c r="H1347" s="22"/>
    </row>
    <row r="1348" spans="1:8" ht="15" x14ac:dyDescent="0.2">
      <c r="A1348" s="18"/>
      <c r="B1348" s="19" t="s">
        <v>2734</v>
      </c>
      <c r="C1348" s="20" t="s">
        <v>2735</v>
      </c>
      <c r="D1348" s="2">
        <v>3</v>
      </c>
      <c r="E1348" s="21"/>
      <c r="F1348" s="2">
        <f t="shared" si="29"/>
        <v>0</v>
      </c>
      <c r="G1348" s="3" t="str">
        <f>HYPERLINK("http://tmmp-catalog.com.ua/katalog/26/17315/","фото")</f>
        <v>фото</v>
      </c>
      <c r="H1348" s="22"/>
    </row>
    <row r="1349" spans="1:8" ht="30" x14ac:dyDescent="0.2">
      <c r="A1349" s="18">
        <v>2000000019970</v>
      </c>
      <c r="B1349" s="19" t="s">
        <v>2736</v>
      </c>
      <c r="C1349" s="20" t="s">
        <v>2737</v>
      </c>
      <c r="D1349" s="2">
        <v>2.85</v>
      </c>
      <c r="E1349" s="21"/>
      <c r="F1349" s="2">
        <f t="shared" si="29"/>
        <v>0</v>
      </c>
      <c r="G1349" s="3" t="str">
        <f>HYPERLINK("http://tmmp-catalog.com.ua/katalog/25/16501/","фото")</f>
        <v>фото</v>
      </c>
      <c r="H1349" s="22"/>
    </row>
    <row r="1350" spans="1:8" ht="15" x14ac:dyDescent="0.2">
      <c r="A1350" s="18">
        <v>2000000017983</v>
      </c>
      <c r="B1350" s="19" t="s">
        <v>2738</v>
      </c>
      <c r="C1350" s="20" t="s">
        <v>2739</v>
      </c>
      <c r="D1350" s="2">
        <v>1.3</v>
      </c>
      <c r="E1350" s="21"/>
      <c r="F1350" s="2">
        <f t="shared" si="29"/>
        <v>0</v>
      </c>
      <c r="G1350" s="3" t="str">
        <f>HYPERLINK("http://tmmp-catalog.com.ua/katalog/25/13751/","фото")</f>
        <v>фото</v>
      </c>
      <c r="H1350" s="22"/>
    </row>
    <row r="1351" spans="1:8" ht="15" x14ac:dyDescent="0.2">
      <c r="A1351" s="18">
        <v>2000000020341</v>
      </c>
      <c r="B1351" s="19" t="s">
        <v>2740</v>
      </c>
      <c r="C1351" s="20" t="s">
        <v>2741</v>
      </c>
      <c r="D1351" s="2">
        <v>15</v>
      </c>
      <c r="E1351" s="21"/>
      <c r="F1351" s="2">
        <f t="shared" si="29"/>
        <v>0</v>
      </c>
      <c r="G1351" s="3" t="str">
        <f>HYPERLINK("http://tmmp-catalog.com.ua/katalog/25/16927/","фото")</f>
        <v>фото</v>
      </c>
      <c r="H1351" s="22"/>
    </row>
    <row r="1352" spans="1:8" ht="15" x14ac:dyDescent="0.2">
      <c r="A1352" s="18"/>
      <c r="B1352" s="19" t="s">
        <v>2742</v>
      </c>
      <c r="C1352" s="20" t="s">
        <v>2743</v>
      </c>
      <c r="D1352" s="2">
        <v>16.2</v>
      </c>
      <c r="E1352" s="21"/>
      <c r="F1352" s="2">
        <f t="shared" si="29"/>
        <v>0</v>
      </c>
      <c r="G1352" s="3" t="str">
        <f>HYPERLINK("http://tmmp-catalog.com.ua/katalog/13/17050/","фото")</f>
        <v>фото</v>
      </c>
      <c r="H1352" s="22"/>
    </row>
    <row r="1353" spans="1:8" ht="15" x14ac:dyDescent="0.2">
      <c r="A1353" s="18">
        <v>2000000018003</v>
      </c>
      <c r="B1353" s="19" t="s">
        <v>2744</v>
      </c>
      <c r="C1353" s="20" t="s">
        <v>2745</v>
      </c>
      <c r="D1353" s="2">
        <v>19</v>
      </c>
      <c r="E1353" s="21"/>
      <c r="F1353" s="2">
        <f t="shared" si="29"/>
        <v>0</v>
      </c>
      <c r="G1353" s="3" t="str">
        <f>HYPERLINK("http://tmmp-catalog.com.ua/katalog/25/13753/","фото")</f>
        <v>фото</v>
      </c>
      <c r="H1353" s="22"/>
    </row>
    <row r="1354" spans="1:8" ht="15" x14ac:dyDescent="0.2">
      <c r="A1354" s="18">
        <v>2000000021768</v>
      </c>
      <c r="B1354" s="19" t="s">
        <v>2746</v>
      </c>
      <c r="C1354" s="20" t="s">
        <v>2747</v>
      </c>
      <c r="D1354" s="2">
        <v>20</v>
      </c>
      <c r="E1354" s="21"/>
      <c r="F1354" s="2">
        <f t="shared" si="29"/>
        <v>0</v>
      </c>
      <c r="G1354" s="3" t="str">
        <f>HYPERLINK("http://tmmp-catalog.com.ua/katalog/26/16844/","фото")</f>
        <v>фото</v>
      </c>
      <c r="H1354" s="22"/>
    </row>
    <row r="1355" spans="1:8" ht="15" x14ac:dyDescent="0.2">
      <c r="A1355" s="18"/>
      <c r="B1355" s="19" t="s">
        <v>2748</v>
      </c>
      <c r="C1355" s="20" t="s">
        <v>2749</v>
      </c>
      <c r="D1355" s="2">
        <v>19.149999999999999</v>
      </c>
      <c r="E1355" s="21"/>
      <c r="F1355" s="2">
        <f t="shared" ref="F1355:F1418" si="30">cena*zakaz</f>
        <v>0</v>
      </c>
      <c r="G1355" s="3" t="str">
        <f>HYPERLINK("http://tmmp-catalog.com.ua/katalog/26/17173/","фото")</f>
        <v>фото</v>
      </c>
      <c r="H1355" s="22"/>
    </row>
    <row r="1356" spans="1:8" ht="15" x14ac:dyDescent="0.2">
      <c r="A1356" s="18"/>
      <c r="B1356" s="19" t="s">
        <v>2750</v>
      </c>
      <c r="C1356" s="20" t="s">
        <v>2751</v>
      </c>
      <c r="D1356" s="2">
        <v>21</v>
      </c>
      <c r="E1356" s="21"/>
      <c r="F1356" s="2">
        <f t="shared" si="30"/>
        <v>0</v>
      </c>
      <c r="G1356" s="3" t="str">
        <f>HYPERLINK("http://tmmp-catalog.com.ua/katalog/28/17759/","фото")</f>
        <v>фото</v>
      </c>
      <c r="H1356" s="22"/>
    </row>
    <row r="1357" spans="1:8" ht="15" x14ac:dyDescent="0.2">
      <c r="A1357" s="18">
        <v>2000000022604</v>
      </c>
      <c r="B1357" s="19" t="s">
        <v>2752</v>
      </c>
      <c r="C1357" s="20" t="s">
        <v>2753</v>
      </c>
      <c r="D1357" s="2">
        <v>16.149999999999999</v>
      </c>
      <c r="E1357" s="21"/>
      <c r="F1357" s="2">
        <f t="shared" si="30"/>
        <v>0</v>
      </c>
      <c r="G1357" s="3" t="str">
        <f>HYPERLINK("http://tmmp-catalog.com.ua/katalog/28/15108/","фото")</f>
        <v>фото</v>
      </c>
      <c r="H1357" s="22"/>
    </row>
    <row r="1358" spans="1:8" ht="15" x14ac:dyDescent="0.2">
      <c r="A1358" s="18">
        <v>2000000018027</v>
      </c>
      <c r="B1358" s="19" t="s">
        <v>2754</v>
      </c>
      <c r="C1358" s="20" t="s">
        <v>2755</v>
      </c>
      <c r="D1358" s="2">
        <v>7.5</v>
      </c>
      <c r="E1358" s="21"/>
      <c r="F1358" s="2">
        <f t="shared" si="30"/>
        <v>0</v>
      </c>
      <c r="G1358" s="3" t="str">
        <f>HYPERLINK("http://tmmp-catalog.com.ua/katalog/25/13755/","фото")</f>
        <v>фото</v>
      </c>
      <c r="H1358" s="22"/>
    </row>
    <row r="1359" spans="1:8" ht="15" x14ac:dyDescent="0.2">
      <c r="A1359" s="18">
        <v>2000000018034</v>
      </c>
      <c r="B1359" s="19" t="s">
        <v>2756</v>
      </c>
      <c r="C1359" s="20" t="s">
        <v>2757</v>
      </c>
      <c r="D1359" s="2">
        <v>8.5</v>
      </c>
      <c r="E1359" s="21"/>
      <c r="F1359" s="2">
        <f t="shared" si="30"/>
        <v>0</v>
      </c>
      <c r="G1359" s="3" t="str">
        <f>HYPERLINK("http://tmmp-catalog.com.ua/katalog/25/13756/","фото")</f>
        <v>фото</v>
      </c>
      <c r="H1359" s="22"/>
    </row>
    <row r="1360" spans="1:8" ht="15" x14ac:dyDescent="0.2">
      <c r="A1360" s="18">
        <v>2000000020686</v>
      </c>
      <c r="B1360" s="19" t="s">
        <v>2758</v>
      </c>
      <c r="C1360" s="20" t="s">
        <v>2759</v>
      </c>
      <c r="D1360" s="2">
        <v>11</v>
      </c>
      <c r="E1360" s="21"/>
      <c r="F1360" s="2">
        <f t="shared" si="30"/>
        <v>0</v>
      </c>
      <c r="G1360" s="3" t="str">
        <f>HYPERLINK("http://tmmp-catalog.com.ua/katalog/26/14448/","фото")</f>
        <v>фото</v>
      </c>
      <c r="H1360" s="22"/>
    </row>
    <row r="1361" spans="1:8" ht="15" x14ac:dyDescent="0.2">
      <c r="A1361" s="18">
        <v>2000000022611</v>
      </c>
      <c r="B1361" s="19" t="s">
        <v>2760</v>
      </c>
      <c r="C1361" s="20" t="s">
        <v>2761</v>
      </c>
      <c r="D1361" s="2">
        <v>9.5</v>
      </c>
      <c r="E1361" s="21"/>
      <c r="F1361" s="2">
        <f t="shared" si="30"/>
        <v>0</v>
      </c>
      <c r="G1361" s="3" t="str">
        <f>HYPERLINK("http://tmmp-catalog.com.ua/katalog/28/15109/","фото")</f>
        <v>фото</v>
      </c>
      <c r="H1361" s="22"/>
    </row>
    <row r="1362" spans="1:8" ht="15" x14ac:dyDescent="0.2">
      <c r="A1362" s="18">
        <v>2000000023861</v>
      </c>
      <c r="B1362" s="19" t="s">
        <v>2762</v>
      </c>
      <c r="C1362" s="20" t="s">
        <v>2763</v>
      </c>
      <c r="D1362" s="2">
        <v>8.5</v>
      </c>
      <c r="E1362" s="21"/>
      <c r="F1362" s="2">
        <f t="shared" si="30"/>
        <v>0</v>
      </c>
      <c r="G1362" s="3" t="str">
        <f>HYPERLINK("http://tmmp-catalog.com.ua/katalog/28/16768/","фото")</f>
        <v>фото</v>
      </c>
      <c r="H1362" s="22"/>
    </row>
    <row r="1363" spans="1:8" ht="15" x14ac:dyDescent="0.2">
      <c r="A1363" s="18">
        <v>2000000020693</v>
      </c>
      <c r="B1363" s="19" t="s">
        <v>2764</v>
      </c>
      <c r="C1363" s="20" t="s">
        <v>2765</v>
      </c>
      <c r="D1363" s="2">
        <v>1</v>
      </c>
      <c r="E1363" s="21"/>
      <c r="F1363" s="2">
        <f t="shared" si="30"/>
        <v>0</v>
      </c>
      <c r="G1363" s="3" t="str">
        <f>HYPERLINK("http://tmmp-catalog.com.ua/katalog/26/14449/","фото")</f>
        <v>фото</v>
      </c>
      <c r="H1363" s="22"/>
    </row>
    <row r="1364" spans="1:8" ht="15" x14ac:dyDescent="0.2">
      <c r="A1364" s="18">
        <v>2000000022628</v>
      </c>
      <c r="B1364" s="19" t="s">
        <v>2766</v>
      </c>
      <c r="C1364" s="20" t="s">
        <v>2767</v>
      </c>
      <c r="D1364" s="2">
        <v>2</v>
      </c>
      <c r="E1364" s="21"/>
      <c r="F1364" s="2">
        <f t="shared" si="30"/>
        <v>0</v>
      </c>
      <c r="G1364" s="3" t="str">
        <f>HYPERLINK("http://tmmp-catalog.com.ua/katalog/28/15110/","фото")</f>
        <v>фото</v>
      </c>
      <c r="H1364" s="22"/>
    </row>
    <row r="1365" spans="1:8" ht="15" x14ac:dyDescent="0.2">
      <c r="A1365" s="18">
        <v>2000000018041</v>
      </c>
      <c r="B1365" s="19" t="s">
        <v>2768</v>
      </c>
      <c r="C1365" s="20" t="s">
        <v>2769</v>
      </c>
      <c r="D1365" s="2">
        <v>1</v>
      </c>
      <c r="E1365" s="21"/>
      <c r="F1365" s="2">
        <f t="shared" si="30"/>
        <v>0</v>
      </c>
      <c r="G1365" s="3" t="str">
        <f>HYPERLINK("http://tmmp-catalog.com.ua/katalog/25/13757/","фото")</f>
        <v>фото</v>
      </c>
      <c r="H1365" s="22"/>
    </row>
    <row r="1366" spans="1:8" ht="15" x14ac:dyDescent="0.2">
      <c r="A1366" s="18">
        <v>2000000018065</v>
      </c>
      <c r="B1366" s="19" t="s">
        <v>2770</v>
      </c>
      <c r="C1366" s="20" t="s">
        <v>2771</v>
      </c>
      <c r="D1366" s="2">
        <v>1</v>
      </c>
      <c r="E1366" s="21"/>
      <c r="F1366" s="2">
        <f t="shared" si="30"/>
        <v>0</v>
      </c>
      <c r="G1366" s="3" t="str">
        <f>HYPERLINK("http://tmmp-catalog.com.ua/katalog/25/13759/","фото")</f>
        <v>фото</v>
      </c>
      <c r="H1366" s="22"/>
    </row>
    <row r="1367" spans="1:8" ht="15" x14ac:dyDescent="0.2">
      <c r="A1367" s="18">
        <v>2000000018072</v>
      </c>
      <c r="B1367" s="19" t="s">
        <v>2772</v>
      </c>
      <c r="C1367" s="20" t="s">
        <v>2773</v>
      </c>
      <c r="D1367" s="2">
        <v>0.9</v>
      </c>
      <c r="E1367" s="21"/>
      <c r="F1367" s="2">
        <f t="shared" si="30"/>
        <v>0</v>
      </c>
      <c r="G1367" s="3" t="str">
        <f>HYPERLINK("http://tmmp-catalog.com.ua/katalog/25/13760/","фото")</f>
        <v>фото</v>
      </c>
      <c r="H1367" s="22"/>
    </row>
    <row r="1368" spans="1:8" ht="15" x14ac:dyDescent="0.2">
      <c r="A1368" s="18">
        <v>2000000018089</v>
      </c>
      <c r="B1368" s="19" t="s">
        <v>2774</v>
      </c>
      <c r="C1368" s="20" t="s">
        <v>2775</v>
      </c>
      <c r="D1368" s="2">
        <v>1</v>
      </c>
      <c r="E1368" s="21"/>
      <c r="F1368" s="2">
        <f t="shared" si="30"/>
        <v>0</v>
      </c>
      <c r="G1368" s="3" t="str">
        <f>HYPERLINK("http://tmmp-catalog.com.ua/katalog/25/13761/","фото")</f>
        <v>фото</v>
      </c>
      <c r="H1368" s="22"/>
    </row>
    <row r="1369" spans="1:8" ht="15" x14ac:dyDescent="0.2">
      <c r="A1369" s="18">
        <v>2000000018096</v>
      </c>
      <c r="B1369" s="19" t="s">
        <v>2776</v>
      </c>
      <c r="C1369" s="20" t="s">
        <v>2777</v>
      </c>
      <c r="D1369" s="2">
        <v>0.75</v>
      </c>
      <c r="E1369" s="21"/>
      <c r="F1369" s="2">
        <f t="shared" si="30"/>
        <v>0</v>
      </c>
      <c r="G1369" s="3" t="str">
        <f>HYPERLINK("http://tmmp-catalog.com.ua/katalog/25/13762/","фото")</f>
        <v>фото</v>
      </c>
      <c r="H1369" s="22"/>
    </row>
    <row r="1370" spans="1:8" ht="15" x14ac:dyDescent="0.2">
      <c r="A1370" s="18">
        <v>2000000018102</v>
      </c>
      <c r="B1370" s="19" t="s">
        <v>2778</v>
      </c>
      <c r="C1370" s="20" t="s">
        <v>2779</v>
      </c>
      <c r="D1370" s="2">
        <v>0.6</v>
      </c>
      <c r="E1370" s="21"/>
      <c r="F1370" s="2">
        <f t="shared" si="30"/>
        <v>0</v>
      </c>
      <c r="G1370" s="3" t="str">
        <f>HYPERLINK("http://tmmp-catalog.com.ua/katalog/25/13763/","фото")</f>
        <v>фото</v>
      </c>
      <c r="H1370" s="22"/>
    </row>
    <row r="1371" spans="1:8" ht="15" x14ac:dyDescent="0.2">
      <c r="A1371" s="18">
        <v>2000000018119</v>
      </c>
      <c r="B1371" s="19" t="s">
        <v>2780</v>
      </c>
      <c r="C1371" s="20" t="s">
        <v>2781</v>
      </c>
      <c r="D1371" s="2">
        <v>0.5</v>
      </c>
      <c r="E1371" s="21"/>
      <c r="F1371" s="2">
        <f t="shared" si="30"/>
        <v>0</v>
      </c>
      <c r="G1371" s="3" t="str">
        <f>HYPERLINK("http://tmmp-catalog.com.ua/katalog/25/13764/","фото")</f>
        <v>фото</v>
      </c>
      <c r="H1371" s="22"/>
    </row>
    <row r="1372" spans="1:8" ht="15" x14ac:dyDescent="0.2">
      <c r="A1372" s="18">
        <v>2000000018126</v>
      </c>
      <c r="B1372" s="19" t="s">
        <v>2782</v>
      </c>
      <c r="C1372" s="20" t="s">
        <v>2783</v>
      </c>
      <c r="D1372" s="2">
        <v>0.5</v>
      </c>
      <c r="E1372" s="21"/>
      <c r="F1372" s="2">
        <f t="shared" si="30"/>
        <v>0</v>
      </c>
      <c r="G1372" s="3" t="str">
        <f>HYPERLINK("http://tmmp-catalog.com.ua/katalog/25/13765/","фото")</f>
        <v>фото</v>
      </c>
      <c r="H1372" s="22"/>
    </row>
    <row r="1373" spans="1:8" ht="15" x14ac:dyDescent="0.2">
      <c r="A1373" s="18">
        <v>2000000018133</v>
      </c>
      <c r="B1373" s="19" t="s">
        <v>2784</v>
      </c>
      <c r="C1373" s="20" t="s">
        <v>2785</v>
      </c>
      <c r="D1373" s="2">
        <v>0.6</v>
      </c>
      <c r="E1373" s="21"/>
      <c r="F1373" s="2">
        <f t="shared" si="30"/>
        <v>0</v>
      </c>
      <c r="G1373" s="3" t="str">
        <f>HYPERLINK("http://tmmp-catalog.com.ua/katalog/25/13766/","фото")</f>
        <v>фото</v>
      </c>
      <c r="H1373" s="22"/>
    </row>
    <row r="1374" spans="1:8" ht="15" x14ac:dyDescent="0.2">
      <c r="A1374" s="18">
        <v>2000000018140</v>
      </c>
      <c r="B1374" s="19" t="s">
        <v>2786</v>
      </c>
      <c r="C1374" s="20" t="s">
        <v>2787</v>
      </c>
      <c r="D1374" s="2">
        <v>1</v>
      </c>
      <c r="E1374" s="21"/>
      <c r="F1374" s="2">
        <f t="shared" si="30"/>
        <v>0</v>
      </c>
      <c r="G1374" s="3" t="str">
        <f>HYPERLINK("http://tmmp-catalog.com.ua/katalog/25/13767/","фото")</f>
        <v>фото</v>
      </c>
      <c r="H1374" s="22"/>
    </row>
    <row r="1375" spans="1:8" ht="15" x14ac:dyDescent="0.2">
      <c r="A1375" s="18">
        <v>2000000018478</v>
      </c>
      <c r="B1375" s="19" t="s">
        <v>2788</v>
      </c>
      <c r="C1375" s="20" t="s">
        <v>2789</v>
      </c>
      <c r="D1375" s="2">
        <v>0.6</v>
      </c>
      <c r="E1375" s="21"/>
      <c r="F1375" s="2">
        <f t="shared" si="30"/>
        <v>0</v>
      </c>
      <c r="G1375" s="3" t="str">
        <f>HYPERLINK("http://tmmp-catalog.com.ua/katalog/25/13800/","фото")</f>
        <v>фото</v>
      </c>
      <c r="H1375" s="22"/>
    </row>
    <row r="1376" spans="1:8" ht="15" x14ac:dyDescent="0.2">
      <c r="A1376" s="18"/>
      <c r="B1376" s="19" t="s">
        <v>2790</v>
      </c>
      <c r="C1376" s="20" t="s">
        <v>2791</v>
      </c>
      <c r="D1376" s="2">
        <v>0.9</v>
      </c>
      <c r="E1376" s="21"/>
      <c r="F1376" s="2">
        <f t="shared" si="30"/>
        <v>0</v>
      </c>
      <c r="G1376" s="3" t="str">
        <f>HYPERLINK("http://tmmp-catalog.com.ua/katalog/37/18324/","фото")</f>
        <v>фото</v>
      </c>
      <c r="H1376" s="22"/>
    </row>
    <row r="1377" spans="1:8" ht="15" x14ac:dyDescent="0.2">
      <c r="A1377" s="18"/>
      <c r="B1377" s="19" t="s">
        <v>2792</v>
      </c>
      <c r="C1377" s="20" t="s">
        <v>2793</v>
      </c>
      <c r="D1377" s="2">
        <v>0.6</v>
      </c>
      <c r="E1377" s="21"/>
      <c r="F1377" s="2">
        <f t="shared" si="30"/>
        <v>0</v>
      </c>
      <c r="G1377" s="3" t="str">
        <f>HYPERLINK("http://tmmp-catalog.com.ua/katalog/37/18325/","фото")</f>
        <v>фото</v>
      </c>
      <c r="H1377" s="22"/>
    </row>
    <row r="1378" spans="1:8" ht="15" x14ac:dyDescent="0.2">
      <c r="A1378" s="18"/>
      <c r="B1378" s="19" t="s">
        <v>2794</v>
      </c>
      <c r="C1378" s="20" t="s">
        <v>2795</v>
      </c>
      <c r="D1378" s="2">
        <v>0.5</v>
      </c>
      <c r="E1378" s="21"/>
      <c r="F1378" s="2">
        <f t="shared" si="30"/>
        <v>0</v>
      </c>
      <c r="G1378" s="3" t="str">
        <f>HYPERLINK("http://tmmp-catalog.com.ua/katalog/37/18326/","фото")</f>
        <v>фото</v>
      </c>
      <c r="H1378" s="22"/>
    </row>
    <row r="1379" spans="1:8" ht="15" x14ac:dyDescent="0.2">
      <c r="A1379" s="18">
        <v>2000000018324</v>
      </c>
      <c r="B1379" s="19" t="s">
        <v>2796</v>
      </c>
      <c r="C1379" s="20" t="s">
        <v>2797</v>
      </c>
      <c r="D1379" s="2">
        <v>0.5</v>
      </c>
      <c r="E1379" s="21"/>
      <c r="F1379" s="2">
        <f t="shared" si="30"/>
        <v>0</v>
      </c>
      <c r="G1379" s="3" t="str">
        <f>HYPERLINK("http://tmmp-catalog.com.ua/katalog/25/13785/","фото")</f>
        <v>фото</v>
      </c>
      <c r="H1379" s="22"/>
    </row>
    <row r="1380" spans="1:8" ht="15" x14ac:dyDescent="0.2">
      <c r="A1380" s="18">
        <v>2000000018331</v>
      </c>
      <c r="B1380" s="19" t="s">
        <v>2798</v>
      </c>
      <c r="C1380" s="20" t="s">
        <v>2799</v>
      </c>
      <c r="D1380" s="2">
        <v>0.6</v>
      </c>
      <c r="E1380" s="21"/>
      <c r="F1380" s="2">
        <f t="shared" si="30"/>
        <v>0</v>
      </c>
      <c r="G1380" s="3" t="str">
        <f>HYPERLINK("http://tmmp-catalog.com.ua/katalog/25/13786/","фото")</f>
        <v>фото</v>
      </c>
      <c r="H1380" s="22"/>
    </row>
    <row r="1381" spans="1:8" ht="15" x14ac:dyDescent="0.2">
      <c r="A1381" s="18">
        <v>2000000018348</v>
      </c>
      <c r="B1381" s="19" t="s">
        <v>2800</v>
      </c>
      <c r="C1381" s="20" t="s">
        <v>2801</v>
      </c>
      <c r="D1381" s="2">
        <v>0.6</v>
      </c>
      <c r="E1381" s="21"/>
      <c r="F1381" s="2">
        <f t="shared" si="30"/>
        <v>0</v>
      </c>
      <c r="G1381" s="3" t="str">
        <f>HYPERLINK("http://tmmp-catalog.com.ua/katalog/25/13787/","фото")</f>
        <v>фото</v>
      </c>
      <c r="H1381" s="22"/>
    </row>
    <row r="1382" spans="1:8" ht="15" x14ac:dyDescent="0.2">
      <c r="A1382" s="18">
        <v>2000000018355</v>
      </c>
      <c r="B1382" s="19" t="s">
        <v>2802</v>
      </c>
      <c r="C1382" s="20" t="s">
        <v>2803</v>
      </c>
      <c r="D1382" s="2">
        <v>0.5</v>
      </c>
      <c r="E1382" s="21"/>
      <c r="F1382" s="2">
        <f t="shared" si="30"/>
        <v>0</v>
      </c>
      <c r="G1382" s="3" t="str">
        <f>HYPERLINK("http://tmmp-catalog.com.ua/katalog/25/13788/","фото")</f>
        <v>фото</v>
      </c>
      <c r="H1382" s="22"/>
    </row>
    <row r="1383" spans="1:8" ht="15" x14ac:dyDescent="0.2">
      <c r="A1383" s="18">
        <v>2000000018362</v>
      </c>
      <c r="B1383" s="19" t="s">
        <v>2804</v>
      </c>
      <c r="C1383" s="20" t="s">
        <v>2805</v>
      </c>
      <c r="D1383" s="2">
        <v>0.7</v>
      </c>
      <c r="E1383" s="21"/>
      <c r="F1383" s="2">
        <f t="shared" si="30"/>
        <v>0</v>
      </c>
      <c r="G1383" s="3" t="str">
        <f>HYPERLINK("http://tmmp-catalog.com.ua/katalog/25/13789/","фото")</f>
        <v>фото</v>
      </c>
      <c r="H1383" s="22"/>
    </row>
    <row r="1384" spans="1:8" ht="15" x14ac:dyDescent="0.2">
      <c r="A1384" s="18">
        <v>2000000018379</v>
      </c>
      <c r="B1384" s="19" t="s">
        <v>2806</v>
      </c>
      <c r="C1384" s="20" t="s">
        <v>2807</v>
      </c>
      <c r="D1384" s="2">
        <v>0.5</v>
      </c>
      <c r="E1384" s="21"/>
      <c r="F1384" s="2">
        <f t="shared" si="30"/>
        <v>0</v>
      </c>
      <c r="G1384" s="3" t="str">
        <f>HYPERLINK("http://tmmp-catalog.com.ua/katalog/25/13790/","фото")</f>
        <v>фото</v>
      </c>
      <c r="H1384" s="22"/>
    </row>
    <row r="1385" spans="1:8" ht="15" x14ac:dyDescent="0.2">
      <c r="A1385" s="18"/>
      <c r="B1385" s="19" t="s">
        <v>2808</v>
      </c>
      <c r="C1385" s="20" t="s">
        <v>2809</v>
      </c>
      <c r="D1385" s="2">
        <v>0.6</v>
      </c>
      <c r="E1385" s="21"/>
      <c r="F1385" s="2">
        <f t="shared" si="30"/>
        <v>0</v>
      </c>
      <c r="G1385" s="3" t="str">
        <f>HYPERLINK("http://tmmp-catalog.com.ua/katalog/37/18327/","фото")</f>
        <v>фото</v>
      </c>
      <c r="H1385" s="22"/>
    </row>
    <row r="1386" spans="1:8" ht="15" x14ac:dyDescent="0.2">
      <c r="A1386" s="18"/>
      <c r="B1386" s="19" t="s">
        <v>2810</v>
      </c>
      <c r="C1386" s="20" t="s">
        <v>2811</v>
      </c>
      <c r="D1386" s="2">
        <v>0.6</v>
      </c>
      <c r="E1386" s="21"/>
      <c r="F1386" s="2">
        <f t="shared" si="30"/>
        <v>0</v>
      </c>
      <c r="G1386" s="3" t="str">
        <f>HYPERLINK("http://tmmp-catalog.com.ua/katalog/37/18328/","фото")</f>
        <v>фото</v>
      </c>
      <c r="H1386" s="22"/>
    </row>
    <row r="1387" spans="1:8" ht="15" x14ac:dyDescent="0.2">
      <c r="A1387" s="18">
        <v>2000000018164</v>
      </c>
      <c r="B1387" s="19" t="s">
        <v>2812</v>
      </c>
      <c r="C1387" s="20" t="s">
        <v>2813</v>
      </c>
      <c r="D1387" s="2">
        <v>0.8</v>
      </c>
      <c r="E1387" s="21"/>
      <c r="F1387" s="2">
        <f t="shared" si="30"/>
        <v>0</v>
      </c>
      <c r="G1387" s="3" t="str">
        <f>HYPERLINK("http://tmmp-catalog.com.ua/katalog/25/13769/","фото")</f>
        <v>фото</v>
      </c>
      <c r="H1387" s="22"/>
    </row>
    <row r="1388" spans="1:8" ht="15" x14ac:dyDescent="0.2">
      <c r="A1388" s="18"/>
      <c r="B1388" s="19" t="s">
        <v>2814</v>
      </c>
      <c r="C1388" s="20" t="s">
        <v>2815</v>
      </c>
      <c r="D1388" s="2">
        <v>0.5</v>
      </c>
      <c r="E1388" s="21"/>
      <c r="F1388" s="2">
        <f t="shared" si="30"/>
        <v>0</v>
      </c>
      <c r="G1388" s="3" t="str">
        <f>HYPERLINK("http://tmmp-catalog.com.ua/katalog/37/18329/","фото")</f>
        <v>фото</v>
      </c>
      <c r="H1388" s="22"/>
    </row>
    <row r="1389" spans="1:8" ht="15" x14ac:dyDescent="0.2">
      <c r="A1389" s="18">
        <v>2000000018201</v>
      </c>
      <c r="B1389" s="19" t="s">
        <v>2816</v>
      </c>
      <c r="C1389" s="20" t="s">
        <v>2817</v>
      </c>
      <c r="D1389" s="2">
        <v>0.5</v>
      </c>
      <c r="E1389" s="21"/>
      <c r="F1389" s="2">
        <f t="shared" si="30"/>
        <v>0</v>
      </c>
      <c r="G1389" s="3" t="str">
        <f>HYPERLINK("http://tmmp-catalog.com.ua/katalog/25/13773/","фото")</f>
        <v>фото</v>
      </c>
      <c r="H1389" s="22"/>
    </row>
    <row r="1390" spans="1:8" ht="15" x14ac:dyDescent="0.2">
      <c r="A1390" s="18">
        <v>2000000018218</v>
      </c>
      <c r="B1390" s="19" t="s">
        <v>2818</v>
      </c>
      <c r="C1390" s="20" t="s">
        <v>2819</v>
      </c>
      <c r="D1390" s="2">
        <v>0.5</v>
      </c>
      <c r="E1390" s="21"/>
      <c r="F1390" s="2">
        <f t="shared" si="30"/>
        <v>0</v>
      </c>
      <c r="G1390" s="3" t="str">
        <f>HYPERLINK("http://tmmp-catalog.com.ua/katalog/25/13774/","фото")</f>
        <v>фото</v>
      </c>
      <c r="H1390" s="22"/>
    </row>
    <row r="1391" spans="1:8" ht="15" x14ac:dyDescent="0.2">
      <c r="A1391" s="18">
        <v>2000000018225</v>
      </c>
      <c r="B1391" s="19" t="s">
        <v>2820</v>
      </c>
      <c r="C1391" s="20" t="s">
        <v>2821</v>
      </c>
      <c r="D1391" s="2">
        <v>0.6</v>
      </c>
      <c r="E1391" s="21"/>
      <c r="F1391" s="2">
        <f t="shared" si="30"/>
        <v>0</v>
      </c>
      <c r="G1391" s="3" t="str">
        <f>HYPERLINK("http://tmmp-catalog.com.ua/katalog/25/13775/","фото")</f>
        <v>фото</v>
      </c>
      <c r="H1391" s="22"/>
    </row>
    <row r="1392" spans="1:8" ht="15" x14ac:dyDescent="0.2">
      <c r="A1392" s="18">
        <v>2000000018188</v>
      </c>
      <c r="B1392" s="19" t="s">
        <v>2822</v>
      </c>
      <c r="C1392" s="20" t="s">
        <v>2823</v>
      </c>
      <c r="D1392" s="2">
        <v>0.6</v>
      </c>
      <c r="E1392" s="21"/>
      <c r="F1392" s="2">
        <f t="shared" si="30"/>
        <v>0</v>
      </c>
      <c r="G1392" s="3" t="str">
        <f>HYPERLINK("http://tmmp-catalog.com.ua/katalog/25/13771/","фото")</f>
        <v>фото</v>
      </c>
      <c r="H1392" s="22"/>
    </row>
    <row r="1393" spans="1:8" ht="15" x14ac:dyDescent="0.2">
      <c r="A1393" s="18">
        <v>2000000018157</v>
      </c>
      <c r="B1393" s="19" t="s">
        <v>2824</v>
      </c>
      <c r="C1393" s="20" t="s">
        <v>2825</v>
      </c>
      <c r="D1393" s="2">
        <v>1.35</v>
      </c>
      <c r="E1393" s="21"/>
      <c r="F1393" s="2">
        <f t="shared" si="30"/>
        <v>0</v>
      </c>
      <c r="G1393" s="3" t="str">
        <f>HYPERLINK("http://tmmp-catalog.com.ua/katalog/25/13768/","фото")</f>
        <v>фото</v>
      </c>
      <c r="H1393" s="22"/>
    </row>
    <row r="1394" spans="1:8" ht="15" x14ac:dyDescent="0.2">
      <c r="A1394" s="18">
        <v>2000000018386</v>
      </c>
      <c r="B1394" s="19" t="s">
        <v>2826</v>
      </c>
      <c r="C1394" s="20" t="s">
        <v>2827</v>
      </c>
      <c r="D1394" s="2">
        <v>0.5</v>
      </c>
      <c r="E1394" s="21"/>
      <c r="F1394" s="2">
        <f t="shared" si="30"/>
        <v>0</v>
      </c>
      <c r="G1394" s="3" t="str">
        <f>HYPERLINK("http://tmmp-catalog.com.ua/katalog/25/13791/","фото")</f>
        <v>фото</v>
      </c>
      <c r="H1394" s="22"/>
    </row>
    <row r="1395" spans="1:8" ht="15" x14ac:dyDescent="0.2">
      <c r="A1395" s="18">
        <v>2000000018393</v>
      </c>
      <c r="B1395" s="19" t="s">
        <v>2828</v>
      </c>
      <c r="C1395" s="20" t="s">
        <v>2829</v>
      </c>
      <c r="D1395" s="2">
        <v>0.6</v>
      </c>
      <c r="E1395" s="21"/>
      <c r="F1395" s="2">
        <f t="shared" si="30"/>
        <v>0</v>
      </c>
      <c r="G1395" s="3" t="str">
        <f>HYPERLINK("http://tmmp-catalog.com.ua/katalog/25/13792/","фото")</f>
        <v>фото</v>
      </c>
      <c r="H1395" s="22"/>
    </row>
    <row r="1396" spans="1:8" ht="15" x14ac:dyDescent="0.2">
      <c r="A1396" s="18">
        <v>2000000018409</v>
      </c>
      <c r="B1396" s="19" t="s">
        <v>2830</v>
      </c>
      <c r="C1396" s="20" t="s">
        <v>2831</v>
      </c>
      <c r="D1396" s="2">
        <v>0.5</v>
      </c>
      <c r="E1396" s="21"/>
      <c r="F1396" s="2">
        <f t="shared" si="30"/>
        <v>0</v>
      </c>
      <c r="G1396" s="3" t="str">
        <f>HYPERLINK("http://tmmp-catalog.com.ua/katalog/25/13793/","фото")</f>
        <v>фото</v>
      </c>
      <c r="H1396" s="22"/>
    </row>
    <row r="1397" spans="1:8" ht="15" x14ac:dyDescent="0.2">
      <c r="A1397" s="18">
        <v>2000000018416</v>
      </c>
      <c r="B1397" s="19" t="s">
        <v>2832</v>
      </c>
      <c r="C1397" s="20" t="s">
        <v>2833</v>
      </c>
      <c r="D1397" s="2">
        <v>0.5</v>
      </c>
      <c r="E1397" s="21"/>
      <c r="F1397" s="2">
        <f t="shared" si="30"/>
        <v>0</v>
      </c>
      <c r="G1397" s="3" t="str">
        <f>HYPERLINK("http://tmmp-catalog.com.ua/katalog/25/13794/","фото")</f>
        <v>фото</v>
      </c>
      <c r="H1397" s="22"/>
    </row>
    <row r="1398" spans="1:8" ht="15" x14ac:dyDescent="0.2">
      <c r="A1398" s="18">
        <v>2000000018423</v>
      </c>
      <c r="B1398" s="19" t="s">
        <v>2834</v>
      </c>
      <c r="C1398" s="20" t="s">
        <v>2835</v>
      </c>
      <c r="D1398" s="2">
        <v>0.5</v>
      </c>
      <c r="E1398" s="21"/>
      <c r="F1398" s="2">
        <f t="shared" si="30"/>
        <v>0</v>
      </c>
      <c r="G1398" s="3" t="str">
        <f>HYPERLINK("http://tmmp-catalog.com.ua/katalog/25/13795/","фото")</f>
        <v>фото</v>
      </c>
      <c r="H1398" s="22"/>
    </row>
    <row r="1399" spans="1:8" ht="15" x14ac:dyDescent="0.2">
      <c r="A1399" s="18">
        <v>2000000018430</v>
      </c>
      <c r="B1399" s="19" t="s">
        <v>2836</v>
      </c>
      <c r="C1399" s="20" t="s">
        <v>2837</v>
      </c>
      <c r="D1399" s="2">
        <v>0.5</v>
      </c>
      <c r="E1399" s="21"/>
      <c r="F1399" s="2">
        <f t="shared" si="30"/>
        <v>0</v>
      </c>
      <c r="G1399" s="3" t="str">
        <f>HYPERLINK("http://tmmp-catalog.com.ua/katalog/25/13796/","фото")</f>
        <v>фото</v>
      </c>
      <c r="H1399" s="22"/>
    </row>
    <row r="1400" spans="1:8" ht="15" x14ac:dyDescent="0.2">
      <c r="A1400" s="18">
        <v>2000000018447</v>
      </c>
      <c r="B1400" s="19" t="s">
        <v>2838</v>
      </c>
      <c r="C1400" s="20" t="s">
        <v>2839</v>
      </c>
      <c r="D1400" s="2">
        <v>0.5</v>
      </c>
      <c r="E1400" s="21"/>
      <c r="F1400" s="2">
        <f t="shared" si="30"/>
        <v>0</v>
      </c>
      <c r="G1400" s="3" t="str">
        <f>HYPERLINK("http://tmmp-catalog.com.ua/katalog/25/13797/","фото")</f>
        <v>фото</v>
      </c>
      <c r="H1400" s="22"/>
    </row>
    <row r="1401" spans="1:8" ht="15" x14ac:dyDescent="0.2">
      <c r="A1401" s="18">
        <v>2000000018454</v>
      </c>
      <c r="B1401" s="19" t="s">
        <v>2840</v>
      </c>
      <c r="C1401" s="20" t="s">
        <v>2841</v>
      </c>
      <c r="D1401" s="2">
        <v>0.6</v>
      </c>
      <c r="E1401" s="21"/>
      <c r="F1401" s="2">
        <f t="shared" si="30"/>
        <v>0</v>
      </c>
      <c r="G1401" s="3" t="str">
        <f>HYPERLINK("http://tmmp-catalog.com.ua/katalog/25/13798/","фото")</f>
        <v>фото</v>
      </c>
      <c r="H1401" s="22"/>
    </row>
    <row r="1402" spans="1:8" ht="15" x14ac:dyDescent="0.2">
      <c r="A1402" s="18">
        <v>2000000018461</v>
      </c>
      <c r="B1402" s="19" t="s">
        <v>2842</v>
      </c>
      <c r="C1402" s="20" t="s">
        <v>2843</v>
      </c>
      <c r="D1402" s="2">
        <v>0.6</v>
      </c>
      <c r="E1402" s="21"/>
      <c r="F1402" s="2">
        <f t="shared" si="30"/>
        <v>0</v>
      </c>
      <c r="G1402" s="3" t="str">
        <f>HYPERLINK("http://tmmp-catalog.com.ua/katalog/25/13799/","фото")</f>
        <v>фото</v>
      </c>
      <c r="H1402" s="22"/>
    </row>
    <row r="1403" spans="1:8" ht="15" x14ac:dyDescent="0.2">
      <c r="A1403" s="18"/>
      <c r="B1403" s="19" t="s">
        <v>2844</v>
      </c>
      <c r="C1403" s="20" t="s">
        <v>2845</v>
      </c>
      <c r="D1403" s="2">
        <v>1.35</v>
      </c>
      <c r="E1403" s="21"/>
      <c r="F1403" s="2">
        <f t="shared" si="30"/>
        <v>0</v>
      </c>
      <c r="G1403" s="3" t="str">
        <f>HYPERLINK("http://tmmp-catalog.com.ua/katalog/26/18850/","фото")</f>
        <v>фото</v>
      </c>
      <c r="H1403" s="22"/>
    </row>
    <row r="1404" spans="1:8" ht="15" x14ac:dyDescent="0.2">
      <c r="A1404" s="18">
        <v>2000000020709</v>
      </c>
      <c r="B1404" s="19" t="s">
        <v>2846</v>
      </c>
      <c r="C1404" s="20" t="s">
        <v>2847</v>
      </c>
      <c r="D1404" s="2">
        <v>0.6</v>
      </c>
      <c r="E1404" s="21"/>
      <c r="F1404" s="2">
        <f t="shared" si="30"/>
        <v>0</v>
      </c>
      <c r="G1404" s="3" t="str">
        <f>HYPERLINK("http://tmmp-catalog.com.ua/katalog/26/14450/","фото")</f>
        <v>фото</v>
      </c>
      <c r="H1404" s="22"/>
    </row>
    <row r="1405" spans="1:8" ht="15" x14ac:dyDescent="0.2">
      <c r="A1405" s="18">
        <v>2000000020785</v>
      </c>
      <c r="B1405" s="19" t="s">
        <v>2848</v>
      </c>
      <c r="C1405" s="20" t="s">
        <v>2849</v>
      </c>
      <c r="D1405" s="2">
        <v>1.35</v>
      </c>
      <c r="E1405" s="21"/>
      <c r="F1405" s="2">
        <f t="shared" si="30"/>
        <v>0</v>
      </c>
      <c r="G1405" s="3" t="str">
        <f>HYPERLINK("http://tmmp-catalog.com.ua/katalog/26/14458/","фото")</f>
        <v>фото</v>
      </c>
      <c r="H1405" s="22"/>
    </row>
    <row r="1406" spans="1:8" ht="15" x14ac:dyDescent="0.2">
      <c r="A1406" s="18">
        <v>2000000020716</v>
      </c>
      <c r="B1406" s="19" t="s">
        <v>2850</v>
      </c>
      <c r="C1406" s="20" t="s">
        <v>2851</v>
      </c>
      <c r="D1406" s="2">
        <v>0.5</v>
      </c>
      <c r="E1406" s="21"/>
      <c r="F1406" s="2">
        <f t="shared" si="30"/>
        <v>0</v>
      </c>
      <c r="G1406" s="3" t="str">
        <f>HYPERLINK("http://tmmp-catalog.com.ua/katalog/26/14451/","фото")</f>
        <v>фото</v>
      </c>
      <c r="H1406" s="22"/>
    </row>
    <row r="1407" spans="1:8" ht="15" x14ac:dyDescent="0.2">
      <c r="A1407" s="18">
        <v>2000000020723</v>
      </c>
      <c r="B1407" s="19" t="s">
        <v>2852</v>
      </c>
      <c r="C1407" s="20" t="s">
        <v>2853</v>
      </c>
      <c r="D1407" s="2">
        <v>0.5</v>
      </c>
      <c r="E1407" s="21"/>
      <c r="F1407" s="2">
        <f t="shared" si="30"/>
        <v>0</v>
      </c>
      <c r="G1407" s="3" t="str">
        <f>HYPERLINK("http://tmmp-catalog.com.ua/katalog/26/14452/","фото")</f>
        <v>фото</v>
      </c>
      <c r="H1407" s="22"/>
    </row>
    <row r="1408" spans="1:8" ht="15" x14ac:dyDescent="0.2">
      <c r="A1408" s="18">
        <v>2000000020730</v>
      </c>
      <c r="B1408" s="19" t="s">
        <v>2854</v>
      </c>
      <c r="C1408" s="20" t="s">
        <v>2855</v>
      </c>
      <c r="D1408" s="2">
        <v>0.6</v>
      </c>
      <c r="E1408" s="21"/>
      <c r="F1408" s="2">
        <f t="shared" si="30"/>
        <v>0</v>
      </c>
      <c r="G1408" s="3" t="str">
        <f>HYPERLINK("http://tmmp-catalog.com.ua/katalog/26/14453/","фото")</f>
        <v>фото</v>
      </c>
      <c r="H1408" s="22"/>
    </row>
    <row r="1409" spans="1:8" ht="15" x14ac:dyDescent="0.2">
      <c r="A1409" s="18">
        <v>2000000020747</v>
      </c>
      <c r="B1409" s="19" t="s">
        <v>2856</v>
      </c>
      <c r="C1409" s="20" t="s">
        <v>2857</v>
      </c>
      <c r="D1409" s="2">
        <v>0.6</v>
      </c>
      <c r="E1409" s="21"/>
      <c r="F1409" s="2">
        <f t="shared" si="30"/>
        <v>0</v>
      </c>
      <c r="G1409" s="3" t="str">
        <f>HYPERLINK("http://tmmp-catalog.com.ua/katalog/26/14454/","фото")</f>
        <v>фото</v>
      </c>
      <c r="H1409" s="22"/>
    </row>
    <row r="1410" spans="1:8" ht="15" x14ac:dyDescent="0.2">
      <c r="A1410" s="18">
        <v>2000000020754</v>
      </c>
      <c r="B1410" s="19" t="s">
        <v>2858</v>
      </c>
      <c r="C1410" s="20" t="s">
        <v>2859</v>
      </c>
      <c r="D1410" s="2">
        <v>0.6</v>
      </c>
      <c r="E1410" s="21"/>
      <c r="F1410" s="2">
        <f t="shared" si="30"/>
        <v>0</v>
      </c>
      <c r="G1410" s="3" t="str">
        <f>HYPERLINK("http://tmmp-catalog.com.ua/katalog/26/14455/","фото")</f>
        <v>фото</v>
      </c>
      <c r="H1410" s="22"/>
    </row>
    <row r="1411" spans="1:8" ht="15" x14ac:dyDescent="0.2">
      <c r="A1411" s="18">
        <v>2000000020792</v>
      </c>
      <c r="B1411" s="19" t="s">
        <v>2860</v>
      </c>
      <c r="C1411" s="20" t="s">
        <v>2861</v>
      </c>
      <c r="D1411" s="2">
        <v>1.6</v>
      </c>
      <c r="E1411" s="21"/>
      <c r="F1411" s="2">
        <f t="shared" si="30"/>
        <v>0</v>
      </c>
      <c r="G1411" s="3" t="str">
        <f>HYPERLINK("http://tmmp-catalog.com.ua/katalog/26/14459/","фото")</f>
        <v>фото</v>
      </c>
      <c r="H1411" s="22"/>
    </row>
    <row r="1412" spans="1:8" ht="15" x14ac:dyDescent="0.2">
      <c r="A1412" s="18"/>
      <c r="B1412" s="19" t="s">
        <v>2862</v>
      </c>
      <c r="C1412" s="20" t="s">
        <v>2863</v>
      </c>
      <c r="D1412" s="2">
        <v>0.8</v>
      </c>
      <c r="E1412" s="21"/>
      <c r="F1412" s="2">
        <f t="shared" si="30"/>
        <v>0</v>
      </c>
      <c r="G1412" s="3" t="str">
        <f>HYPERLINK("http://tmmp-catalog.com.ua/katalog/37/18351/","фото")</f>
        <v>фото</v>
      </c>
      <c r="H1412" s="22"/>
    </row>
    <row r="1413" spans="1:8" ht="15" x14ac:dyDescent="0.2">
      <c r="A1413" s="18">
        <v>2000000023885</v>
      </c>
      <c r="B1413" s="19" t="s">
        <v>2864</v>
      </c>
      <c r="C1413" s="20" t="s">
        <v>2865</v>
      </c>
      <c r="D1413" s="2">
        <v>0.5</v>
      </c>
      <c r="E1413" s="21"/>
      <c r="F1413" s="2">
        <f t="shared" si="30"/>
        <v>0</v>
      </c>
      <c r="G1413" s="3" t="str">
        <f>HYPERLINK("http://tmmp-catalog.com.ua/katalog/28/17015/","фото")</f>
        <v>фото</v>
      </c>
      <c r="H1413" s="22"/>
    </row>
    <row r="1414" spans="1:8" ht="15" x14ac:dyDescent="0.2">
      <c r="A1414" s="18">
        <v>2000000022635</v>
      </c>
      <c r="B1414" s="19" t="s">
        <v>2866</v>
      </c>
      <c r="C1414" s="20" t="s">
        <v>2867</v>
      </c>
      <c r="D1414" s="2">
        <v>0.5</v>
      </c>
      <c r="E1414" s="21"/>
      <c r="F1414" s="2">
        <f t="shared" si="30"/>
        <v>0</v>
      </c>
      <c r="G1414" s="3" t="str">
        <f>HYPERLINK("http://tmmp-catalog.com.ua/katalog/28/15111/","фото")</f>
        <v>фото</v>
      </c>
      <c r="H1414" s="22"/>
    </row>
    <row r="1415" spans="1:8" ht="15" x14ac:dyDescent="0.2">
      <c r="A1415" s="18">
        <v>2000000023892</v>
      </c>
      <c r="B1415" s="19" t="s">
        <v>2868</v>
      </c>
      <c r="C1415" s="20" t="s">
        <v>2869</v>
      </c>
      <c r="D1415" s="2">
        <v>0.5</v>
      </c>
      <c r="E1415" s="21"/>
      <c r="F1415" s="2">
        <f t="shared" si="30"/>
        <v>0</v>
      </c>
      <c r="G1415" s="3" t="str">
        <f>HYPERLINK("http://tmmp-catalog.com.ua/katalog/28/17016/","фото")</f>
        <v>фото</v>
      </c>
      <c r="H1415" s="22"/>
    </row>
    <row r="1416" spans="1:8" ht="15" x14ac:dyDescent="0.2">
      <c r="A1416" s="18"/>
      <c r="B1416" s="19" t="s">
        <v>2870</v>
      </c>
      <c r="C1416" s="20" t="s">
        <v>2871</v>
      </c>
      <c r="D1416" s="2">
        <v>0.5</v>
      </c>
      <c r="E1416" s="21"/>
      <c r="F1416" s="2">
        <f t="shared" si="30"/>
        <v>0</v>
      </c>
      <c r="G1416" s="3" t="str">
        <f>HYPERLINK("http://tmmp-catalog.com.ua/katalog/37/18354/","фото")</f>
        <v>фото</v>
      </c>
      <c r="H1416" s="22"/>
    </row>
    <row r="1417" spans="1:8" ht="15" x14ac:dyDescent="0.2">
      <c r="A1417" s="18">
        <v>2000000023908</v>
      </c>
      <c r="B1417" s="19" t="s">
        <v>2872</v>
      </c>
      <c r="C1417" s="20" t="s">
        <v>2873</v>
      </c>
      <c r="D1417" s="2">
        <v>0.5</v>
      </c>
      <c r="E1417" s="21"/>
      <c r="F1417" s="2">
        <f t="shared" si="30"/>
        <v>0</v>
      </c>
      <c r="G1417" s="3" t="str">
        <f>HYPERLINK("http://tmmp-catalog.com.ua/katalog/28/17017/","фото")</f>
        <v>фото</v>
      </c>
      <c r="H1417" s="22"/>
    </row>
    <row r="1418" spans="1:8" ht="15" x14ac:dyDescent="0.2">
      <c r="A1418" s="18">
        <v>2000000022642</v>
      </c>
      <c r="B1418" s="19" t="s">
        <v>2874</v>
      </c>
      <c r="C1418" s="20" t="s">
        <v>2875</v>
      </c>
      <c r="D1418" s="2">
        <v>0.5</v>
      </c>
      <c r="E1418" s="21"/>
      <c r="F1418" s="2">
        <f t="shared" si="30"/>
        <v>0</v>
      </c>
      <c r="G1418" s="3" t="str">
        <f>HYPERLINK("http://tmmp-catalog.com.ua/katalog/28/15112/","фото")</f>
        <v>фото</v>
      </c>
      <c r="H1418" s="22"/>
    </row>
    <row r="1419" spans="1:8" ht="15" x14ac:dyDescent="0.2">
      <c r="A1419" s="18">
        <v>2000000022659</v>
      </c>
      <c r="B1419" s="19" t="s">
        <v>2876</v>
      </c>
      <c r="C1419" s="20" t="s">
        <v>2877</v>
      </c>
      <c r="D1419" s="2">
        <v>0.5</v>
      </c>
      <c r="E1419" s="21"/>
      <c r="F1419" s="2">
        <f t="shared" ref="F1419:F1482" si="31">cena*zakaz</f>
        <v>0</v>
      </c>
      <c r="G1419" s="3" t="str">
        <f>HYPERLINK("http://tmmp-catalog.com.ua/katalog/28/15113/","фото")</f>
        <v>фото</v>
      </c>
      <c r="H1419" s="22"/>
    </row>
    <row r="1420" spans="1:8" ht="15" x14ac:dyDescent="0.2">
      <c r="A1420" s="18">
        <v>2000000023915</v>
      </c>
      <c r="B1420" s="19" t="s">
        <v>2878</v>
      </c>
      <c r="C1420" s="20" t="s">
        <v>2879</v>
      </c>
      <c r="D1420" s="2">
        <v>0.5</v>
      </c>
      <c r="E1420" s="21"/>
      <c r="F1420" s="2">
        <f t="shared" si="31"/>
        <v>0</v>
      </c>
      <c r="G1420" s="3" t="str">
        <f>HYPERLINK("http://tmmp-catalog.com.ua/katalog/28/17018/","фото")</f>
        <v>фото</v>
      </c>
      <c r="H1420" s="22"/>
    </row>
    <row r="1421" spans="1:8" ht="15" x14ac:dyDescent="0.2">
      <c r="A1421" s="18">
        <v>2000000022666</v>
      </c>
      <c r="B1421" s="19" t="s">
        <v>2880</v>
      </c>
      <c r="C1421" s="20" t="s">
        <v>2881</v>
      </c>
      <c r="D1421" s="2">
        <v>0.5</v>
      </c>
      <c r="E1421" s="21"/>
      <c r="F1421" s="2">
        <f t="shared" si="31"/>
        <v>0</v>
      </c>
      <c r="G1421" s="3" t="str">
        <f>HYPERLINK("http://tmmp-catalog.com.ua/katalog/28/15114/","фото")</f>
        <v>фото</v>
      </c>
      <c r="H1421" s="22"/>
    </row>
    <row r="1422" spans="1:8" ht="15" x14ac:dyDescent="0.2">
      <c r="A1422" s="18"/>
      <c r="B1422" s="19" t="s">
        <v>2882</v>
      </c>
      <c r="C1422" s="20" t="s">
        <v>2883</v>
      </c>
      <c r="D1422" s="2">
        <v>0.5</v>
      </c>
      <c r="E1422" s="21"/>
      <c r="F1422" s="2">
        <f t="shared" si="31"/>
        <v>0</v>
      </c>
      <c r="G1422" s="3" t="str">
        <f>HYPERLINK("http://tmmp-catalog.com.ua/katalog/28/18716/","фото")</f>
        <v>фото</v>
      </c>
      <c r="H1422" s="22"/>
    </row>
    <row r="1423" spans="1:8" ht="15" x14ac:dyDescent="0.2">
      <c r="A1423" s="18">
        <v>2000000022758</v>
      </c>
      <c r="B1423" s="19" t="s">
        <v>2884</v>
      </c>
      <c r="C1423" s="20" t="s">
        <v>2885</v>
      </c>
      <c r="D1423" s="2">
        <v>0.5</v>
      </c>
      <c r="E1423" s="21"/>
      <c r="F1423" s="2">
        <f t="shared" si="31"/>
        <v>0</v>
      </c>
      <c r="G1423" s="3" t="str">
        <f>HYPERLINK("http://tmmp-catalog.com.ua/katalog/28/15123/","фото")</f>
        <v>фото</v>
      </c>
      <c r="H1423" s="22"/>
    </row>
    <row r="1424" spans="1:8" ht="15" x14ac:dyDescent="0.2">
      <c r="A1424" s="18"/>
      <c r="B1424" s="19" t="s">
        <v>2886</v>
      </c>
      <c r="C1424" s="20" t="s">
        <v>2887</v>
      </c>
      <c r="D1424" s="2">
        <v>0.5</v>
      </c>
      <c r="E1424" s="21"/>
      <c r="F1424" s="2">
        <f t="shared" si="31"/>
        <v>0</v>
      </c>
      <c r="G1424" s="3" t="str">
        <f>HYPERLINK("http://tmmp-catalog.com.ua/katalog/37/18355/","фото")</f>
        <v>фото</v>
      </c>
      <c r="H1424" s="22"/>
    </row>
    <row r="1425" spans="1:8" ht="15" x14ac:dyDescent="0.2">
      <c r="A1425" s="18"/>
      <c r="B1425" s="19" t="s">
        <v>2888</v>
      </c>
      <c r="C1425" s="20" t="s">
        <v>2889</v>
      </c>
      <c r="D1425" s="2">
        <v>0.5</v>
      </c>
      <c r="E1425" s="21"/>
      <c r="F1425" s="2">
        <f t="shared" si="31"/>
        <v>0</v>
      </c>
      <c r="G1425" s="3" t="str">
        <f>HYPERLINK("http://tmmp-catalog.com.ua/katalog/37/18356/","фото")</f>
        <v>фото</v>
      </c>
      <c r="H1425" s="22"/>
    </row>
    <row r="1426" spans="1:8" ht="15" x14ac:dyDescent="0.2">
      <c r="A1426" s="18">
        <v>2000000022673</v>
      </c>
      <c r="B1426" s="19" t="s">
        <v>2890</v>
      </c>
      <c r="C1426" s="20" t="s">
        <v>2891</v>
      </c>
      <c r="D1426" s="2">
        <v>0.5</v>
      </c>
      <c r="E1426" s="21"/>
      <c r="F1426" s="2">
        <f t="shared" si="31"/>
        <v>0</v>
      </c>
      <c r="G1426" s="3" t="str">
        <f>HYPERLINK("http://tmmp-catalog.com.ua/katalog/28/15115/","фото")</f>
        <v>фото</v>
      </c>
      <c r="H1426" s="22"/>
    </row>
    <row r="1427" spans="1:8" ht="15" x14ac:dyDescent="0.2">
      <c r="A1427" s="18">
        <v>2000000022680</v>
      </c>
      <c r="B1427" s="19" t="s">
        <v>2892</v>
      </c>
      <c r="C1427" s="20" t="s">
        <v>2893</v>
      </c>
      <c r="D1427" s="2">
        <v>0.5</v>
      </c>
      <c r="E1427" s="21"/>
      <c r="F1427" s="2">
        <f t="shared" si="31"/>
        <v>0</v>
      </c>
      <c r="G1427" s="3" t="str">
        <f>HYPERLINK("http://tmmp-catalog.com.ua/katalog/28/15116/","фото")</f>
        <v>фото</v>
      </c>
      <c r="H1427" s="22"/>
    </row>
    <row r="1428" spans="1:8" ht="15" x14ac:dyDescent="0.2">
      <c r="A1428" s="18">
        <v>2000000022697</v>
      </c>
      <c r="B1428" s="19" t="s">
        <v>2894</v>
      </c>
      <c r="C1428" s="20" t="s">
        <v>2895</v>
      </c>
      <c r="D1428" s="2">
        <v>0.5</v>
      </c>
      <c r="E1428" s="21"/>
      <c r="F1428" s="2">
        <f t="shared" si="31"/>
        <v>0</v>
      </c>
      <c r="G1428" s="3" t="str">
        <f>HYPERLINK("http://tmmp-catalog.com.ua/katalog/28/15117/","фото")</f>
        <v>фото</v>
      </c>
      <c r="H1428" s="22"/>
    </row>
    <row r="1429" spans="1:8" ht="15" x14ac:dyDescent="0.2">
      <c r="A1429" s="18">
        <v>2000000022703</v>
      </c>
      <c r="B1429" s="19" t="s">
        <v>2896</v>
      </c>
      <c r="C1429" s="20" t="s">
        <v>2897</v>
      </c>
      <c r="D1429" s="2">
        <v>0.5</v>
      </c>
      <c r="E1429" s="21"/>
      <c r="F1429" s="2">
        <f t="shared" si="31"/>
        <v>0</v>
      </c>
      <c r="G1429" s="3" t="str">
        <f>HYPERLINK("http://tmmp-catalog.com.ua/katalog/28/15118/","фото")</f>
        <v>фото</v>
      </c>
      <c r="H1429" s="22"/>
    </row>
    <row r="1430" spans="1:8" ht="15" x14ac:dyDescent="0.2">
      <c r="A1430" s="18">
        <v>2000000022710</v>
      </c>
      <c r="B1430" s="19" t="s">
        <v>2898</v>
      </c>
      <c r="C1430" s="20" t="s">
        <v>2899</v>
      </c>
      <c r="D1430" s="2">
        <v>0.5</v>
      </c>
      <c r="E1430" s="21"/>
      <c r="F1430" s="2">
        <f t="shared" si="31"/>
        <v>0</v>
      </c>
      <c r="G1430" s="3" t="str">
        <f>HYPERLINK("http://tmmp-catalog.com.ua/katalog/28/15119/","фото")</f>
        <v>фото</v>
      </c>
      <c r="H1430" s="22"/>
    </row>
    <row r="1431" spans="1:8" ht="15" x14ac:dyDescent="0.2">
      <c r="A1431" s="18">
        <v>2000000022727</v>
      </c>
      <c r="B1431" s="19" t="s">
        <v>2900</v>
      </c>
      <c r="C1431" s="20" t="s">
        <v>2901</v>
      </c>
      <c r="D1431" s="2">
        <v>0.5</v>
      </c>
      <c r="E1431" s="21"/>
      <c r="F1431" s="2">
        <f t="shared" si="31"/>
        <v>0</v>
      </c>
      <c r="G1431" s="3" t="str">
        <f>HYPERLINK("http://tmmp-catalog.com.ua/katalog/28/15120/","фото")</f>
        <v>фото</v>
      </c>
      <c r="H1431" s="22"/>
    </row>
    <row r="1432" spans="1:8" ht="15" x14ac:dyDescent="0.2">
      <c r="A1432" s="18">
        <v>2000000022734</v>
      </c>
      <c r="B1432" s="19" t="s">
        <v>2902</v>
      </c>
      <c r="C1432" s="20" t="s">
        <v>2903</v>
      </c>
      <c r="D1432" s="2">
        <v>0.5</v>
      </c>
      <c r="E1432" s="21"/>
      <c r="F1432" s="2">
        <f t="shared" si="31"/>
        <v>0</v>
      </c>
      <c r="G1432" s="3" t="str">
        <f>HYPERLINK("http://tmmp-catalog.com.ua/katalog/28/15121/","фото")</f>
        <v>фото</v>
      </c>
      <c r="H1432" s="22"/>
    </row>
    <row r="1433" spans="1:8" ht="15" x14ac:dyDescent="0.2">
      <c r="A1433" s="18">
        <v>2000000022741</v>
      </c>
      <c r="B1433" s="19" t="s">
        <v>2904</v>
      </c>
      <c r="C1433" s="20" t="s">
        <v>2905</v>
      </c>
      <c r="D1433" s="2">
        <v>0.5</v>
      </c>
      <c r="E1433" s="21"/>
      <c r="F1433" s="2">
        <f t="shared" si="31"/>
        <v>0</v>
      </c>
      <c r="G1433" s="3" t="str">
        <f>HYPERLINK("http://tmmp-catalog.com.ua/katalog/28/15122/","фото")</f>
        <v>фото</v>
      </c>
      <c r="H1433" s="22"/>
    </row>
    <row r="1434" spans="1:8" ht="15" x14ac:dyDescent="0.2">
      <c r="A1434" s="18">
        <v>2000000023878</v>
      </c>
      <c r="B1434" s="19" t="s">
        <v>2906</v>
      </c>
      <c r="C1434" s="20" t="s">
        <v>2907</v>
      </c>
      <c r="D1434" s="2">
        <v>0.5</v>
      </c>
      <c r="E1434" s="21"/>
      <c r="F1434" s="2">
        <f t="shared" si="31"/>
        <v>0</v>
      </c>
      <c r="G1434" s="3" t="str">
        <f>HYPERLINK("http://tmmp-catalog.com.ua/katalog/28/17014/","фото")</f>
        <v>фото</v>
      </c>
      <c r="H1434" s="22"/>
    </row>
    <row r="1435" spans="1:8" ht="15" x14ac:dyDescent="0.2">
      <c r="A1435" s="18"/>
      <c r="B1435" s="19" t="s">
        <v>2908</v>
      </c>
      <c r="C1435" s="20" t="s">
        <v>2909</v>
      </c>
      <c r="D1435" s="2">
        <v>0.5</v>
      </c>
      <c r="E1435" s="21"/>
      <c r="F1435" s="2">
        <f t="shared" si="31"/>
        <v>0</v>
      </c>
      <c r="G1435" s="3" t="str">
        <f>HYPERLINK("http://tmmp-catalog.com.ua/katalog/28/17227/","фото")</f>
        <v>фото</v>
      </c>
      <c r="H1435" s="22"/>
    </row>
    <row r="1436" spans="1:8" ht="15" x14ac:dyDescent="0.2">
      <c r="A1436" s="18"/>
      <c r="B1436" s="19" t="s">
        <v>2910</v>
      </c>
      <c r="C1436" s="20" t="s">
        <v>2911</v>
      </c>
      <c r="D1436" s="2">
        <v>0.5</v>
      </c>
      <c r="E1436" s="21"/>
      <c r="F1436" s="2">
        <f t="shared" si="31"/>
        <v>0</v>
      </c>
      <c r="G1436" s="3" t="str">
        <f>HYPERLINK("http://tmmp-catalog.com.ua/katalog/28/17228/","фото")</f>
        <v>фото</v>
      </c>
      <c r="H1436" s="22"/>
    </row>
    <row r="1437" spans="1:8" ht="15" x14ac:dyDescent="0.2">
      <c r="A1437" s="18"/>
      <c r="B1437" s="19" t="s">
        <v>2912</v>
      </c>
      <c r="C1437" s="20" t="s">
        <v>2913</v>
      </c>
      <c r="D1437" s="2">
        <v>0.5</v>
      </c>
      <c r="E1437" s="21"/>
      <c r="F1437" s="2">
        <f t="shared" si="31"/>
        <v>0</v>
      </c>
      <c r="G1437" s="3" t="str">
        <f>HYPERLINK("http://tmmp-catalog.com.ua/katalog/28/17229/","фото")</f>
        <v>фото</v>
      </c>
      <c r="H1437" s="22"/>
    </row>
    <row r="1438" spans="1:8" ht="15" x14ac:dyDescent="0.2">
      <c r="A1438" s="18"/>
      <c r="B1438" s="19" t="s">
        <v>2914</v>
      </c>
      <c r="C1438" s="20" t="s">
        <v>2915</v>
      </c>
      <c r="D1438" s="2">
        <v>0.5</v>
      </c>
      <c r="E1438" s="21"/>
      <c r="F1438" s="2">
        <f t="shared" si="31"/>
        <v>0</v>
      </c>
      <c r="G1438" s="3" t="str">
        <f>HYPERLINK("http://tmmp-catalog.com.ua/katalog/28/17226/","фото")</f>
        <v>фото</v>
      </c>
      <c r="H1438" s="22"/>
    </row>
    <row r="1439" spans="1:8" ht="15" x14ac:dyDescent="0.2">
      <c r="A1439" s="18"/>
      <c r="B1439" s="19" t="s">
        <v>2916</v>
      </c>
      <c r="C1439" s="20" t="s">
        <v>2917</v>
      </c>
      <c r="D1439" s="2">
        <v>0.5</v>
      </c>
      <c r="E1439" s="21"/>
      <c r="F1439" s="2">
        <f t="shared" si="31"/>
        <v>0</v>
      </c>
      <c r="G1439" s="3" t="str">
        <f>HYPERLINK("http://tmmp-catalog.com.ua/katalog/28/17227/","фото")</f>
        <v>фото</v>
      </c>
      <c r="H1439" s="22"/>
    </row>
    <row r="1440" spans="1:8" ht="15" x14ac:dyDescent="0.2">
      <c r="A1440" s="18"/>
      <c r="B1440" s="19" t="s">
        <v>2918</v>
      </c>
      <c r="C1440" s="20" t="s">
        <v>2919</v>
      </c>
      <c r="D1440" s="2">
        <v>0.5</v>
      </c>
      <c r="E1440" s="21"/>
      <c r="F1440" s="2">
        <f t="shared" si="31"/>
        <v>0</v>
      </c>
      <c r="G1440" s="3" t="str">
        <f>HYPERLINK("http://tmmp-catalog.com.ua/katalog/28/17227/","фото")</f>
        <v>фото</v>
      </c>
      <c r="H1440" s="22"/>
    </row>
    <row r="1441" spans="1:8" ht="15" x14ac:dyDescent="0.2">
      <c r="A1441" s="18"/>
      <c r="B1441" s="19" t="s">
        <v>2920</v>
      </c>
      <c r="C1441" s="20" t="s">
        <v>2921</v>
      </c>
      <c r="D1441" s="2">
        <v>0.5</v>
      </c>
      <c r="E1441" s="21"/>
      <c r="F1441" s="2">
        <f t="shared" si="31"/>
        <v>0</v>
      </c>
      <c r="G1441" s="3" t="str">
        <f>HYPERLINK("http://tmmp-catalog.com.ua/katalog/28/17227/","фото")</f>
        <v>фото</v>
      </c>
      <c r="H1441" s="22"/>
    </row>
    <row r="1442" spans="1:8" ht="15" x14ac:dyDescent="0.2">
      <c r="A1442" s="18"/>
      <c r="B1442" s="19" t="s">
        <v>2922</v>
      </c>
      <c r="C1442" s="20" t="s">
        <v>2923</v>
      </c>
      <c r="D1442" s="2">
        <v>0.5</v>
      </c>
      <c r="E1442" s="21"/>
      <c r="F1442" s="2">
        <f t="shared" si="31"/>
        <v>0</v>
      </c>
      <c r="G1442" s="3" t="str">
        <f>HYPERLINK("http://tmmp-catalog.com.ua/katalog/28/17227/","фото")</f>
        <v>фото</v>
      </c>
      <c r="H1442" s="22"/>
    </row>
    <row r="1443" spans="1:8" ht="15" x14ac:dyDescent="0.2">
      <c r="A1443" s="18"/>
      <c r="B1443" s="19" t="s">
        <v>2924</v>
      </c>
      <c r="C1443" s="20" t="s">
        <v>2925</v>
      </c>
      <c r="D1443" s="2">
        <v>0.5</v>
      </c>
      <c r="E1443" s="21"/>
      <c r="F1443" s="2">
        <f t="shared" si="31"/>
        <v>0</v>
      </c>
      <c r="G1443" s="3" t="str">
        <f>HYPERLINK("http://tmmp-catalog.com.ua/katalog/28/17227/","фото")</f>
        <v>фото</v>
      </c>
      <c r="H1443" s="22"/>
    </row>
    <row r="1444" spans="1:8" ht="15" x14ac:dyDescent="0.2">
      <c r="A1444" s="18">
        <v>2000000018485</v>
      </c>
      <c r="B1444" s="19" t="s">
        <v>2926</v>
      </c>
      <c r="C1444" s="20" t="s">
        <v>2927</v>
      </c>
      <c r="D1444" s="2">
        <v>3.7</v>
      </c>
      <c r="E1444" s="21"/>
      <c r="F1444" s="2">
        <f t="shared" si="31"/>
        <v>0</v>
      </c>
      <c r="G1444" s="3" t="str">
        <f>HYPERLINK("http://tmmp-catalog.com.ua/katalog/25/13801/","фото")</f>
        <v>фото</v>
      </c>
      <c r="H1444" s="22"/>
    </row>
    <row r="1445" spans="1:8" ht="15" x14ac:dyDescent="0.2">
      <c r="A1445" s="18">
        <v>2000000020105</v>
      </c>
      <c r="B1445" s="19" t="s">
        <v>2928</v>
      </c>
      <c r="C1445" s="20" t="s">
        <v>2929</v>
      </c>
      <c r="D1445" s="2">
        <v>8</v>
      </c>
      <c r="E1445" s="21"/>
      <c r="F1445" s="2">
        <f t="shared" si="31"/>
        <v>0</v>
      </c>
      <c r="G1445" s="3" t="str">
        <f>HYPERLINK("http://tmmp-catalog.com.ua/katalog/25/16902/","фото")</f>
        <v>фото</v>
      </c>
      <c r="H1445" s="22"/>
    </row>
    <row r="1446" spans="1:8" ht="15" x14ac:dyDescent="0.2">
      <c r="A1446" s="18">
        <v>2000000018492</v>
      </c>
      <c r="B1446" s="19" t="s">
        <v>2930</v>
      </c>
      <c r="C1446" s="20" t="s">
        <v>2931</v>
      </c>
      <c r="D1446" s="2">
        <v>5.2</v>
      </c>
      <c r="E1446" s="21"/>
      <c r="F1446" s="2">
        <f t="shared" si="31"/>
        <v>0</v>
      </c>
      <c r="G1446" s="3" t="str">
        <f>HYPERLINK("http://tmmp-catalog.com.ua/katalog/25/13802/","фото")</f>
        <v>фото</v>
      </c>
      <c r="H1446" s="22"/>
    </row>
    <row r="1447" spans="1:8" ht="15" x14ac:dyDescent="0.2">
      <c r="A1447" s="18">
        <v>2000000022772</v>
      </c>
      <c r="B1447" s="19" t="s">
        <v>2932</v>
      </c>
      <c r="C1447" s="20" t="s">
        <v>2933</v>
      </c>
      <c r="D1447" s="2">
        <v>1.3</v>
      </c>
      <c r="E1447" s="21"/>
      <c r="F1447" s="2">
        <f t="shared" si="31"/>
        <v>0</v>
      </c>
      <c r="G1447" s="3" t="str">
        <f>HYPERLINK("http://tmmp-catalog.com.ua/katalog/28/15125/","фото")</f>
        <v>фото</v>
      </c>
      <c r="H1447" s="22"/>
    </row>
    <row r="1448" spans="1:8" ht="15" x14ac:dyDescent="0.2">
      <c r="A1448" s="18">
        <v>2000000020815</v>
      </c>
      <c r="B1448" s="19" t="s">
        <v>2934</v>
      </c>
      <c r="C1448" s="20" t="s">
        <v>2935</v>
      </c>
      <c r="D1448" s="2">
        <v>5</v>
      </c>
      <c r="E1448" s="21"/>
      <c r="F1448" s="2">
        <f t="shared" si="31"/>
        <v>0</v>
      </c>
      <c r="G1448" s="3" t="str">
        <f>HYPERLINK("http://tmmp-catalog.com.ua/katalog/26/14461/","фото")</f>
        <v>фото</v>
      </c>
      <c r="H1448" s="22"/>
    </row>
    <row r="1449" spans="1:8" ht="15" x14ac:dyDescent="0.2">
      <c r="A1449" s="18">
        <v>2000000018546</v>
      </c>
      <c r="B1449" s="19" t="s">
        <v>2936</v>
      </c>
      <c r="C1449" s="20" t="s">
        <v>2937</v>
      </c>
      <c r="D1449" s="2">
        <v>1.9</v>
      </c>
      <c r="E1449" s="21"/>
      <c r="F1449" s="2">
        <f t="shared" si="31"/>
        <v>0</v>
      </c>
      <c r="G1449" s="3" t="str">
        <f>HYPERLINK("http://tmmp-catalog.com.ua/katalog/25/13807/","фото")</f>
        <v>фото</v>
      </c>
      <c r="H1449" s="22"/>
    </row>
    <row r="1450" spans="1:8" ht="15" x14ac:dyDescent="0.2">
      <c r="A1450" s="18">
        <v>2000000020884</v>
      </c>
      <c r="B1450" s="19" t="s">
        <v>2938</v>
      </c>
      <c r="C1450" s="20" t="s">
        <v>2939</v>
      </c>
      <c r="D1450" s="2">
        <v>1.1000000000000001</v>
      </c>
      <c r="E1450" s="21"/>
      <c r="F1450" s="2">
        <f t="shared" si="31"/>
        <v>0</v>
      </c>
      <c r="G1450" s="3" t="str">
        <f>HYPERLINK("http://tmmp-catalog.com.ua/katalog/26/14469/","фото")</f>
        <v>фото</v>
      </c>
      <c r="H1450" s="22"/>
    </row>
    <row r="1451" spans="1:8" ht="15" x14ac:dyDescent="0.2">
      <c r="A1451" s="18">
        <v>2000000022826</v>
      </c>
      <c r="B1451" s="19" t="s">
        <v>2940</v>
      </c>
      <c r="C1451" s="20" t="s">
        <v>2941</v>
      </c>
      <c r="D1451" s="2">
        <v>2.5</v>
      </c>
      <c r="E1451" s="21"/>
      <c r="F1451" s="2">
        <f t="shared" si="31"/>
        <v>0</v>
      </c>
      <c r="G1451" s="3" t="str">
        <f>HYPERLINK("http://tmmp-catalog.com.ua/katalog/28/15130/","фото")</f>
        <v>фото</v>
      </c>
      <c r="H1451" s="22"/>
    </row>
    <row r="1452" spans="1:8" ht="15" x14ac:dyDescent="0.2">
      <c r="A1452" s="18">
        <v>2000000020891</v>
      </c>
      <c r="B1452" s="19" t="s">
        <v>2942</v>
      </c>
      <c r="C1452" s="20" t="s">
        <v>2943</v>
      </c>
      <c r="D1452" s="2">
        <v>0.1</v>
      </c>
      <c r="E1452" s="21"/>
      <c r="F1452" s="2">
        <f t="shared" si="31"/>
        <v>0</v>
      </c>
      <c r="G1452" s="3" t="str">
        <f>HYPERLINK("http://tmmp-catalog.com.ua/katalog/26/14470/","фото")</f>
        <v>фото</v>
      </c>
      <c r="H1452" s="22"/>
    </row>
    <row r="1453" spans="1:8" ht="15" x14ac:dyDescent="0.2">
      <c r="A1453" s="18">
        <v>2000000021782</v>
      </c>
      <c r="B1453" s="19" t="s">
        <v>2944</v>
      </c>
      <c r="C1453" s="20" t="s">
        <v>2945</v>
      </c>
      <c r="D1453" s="2">
        <v>0.4</v>
      </c>
      <c r="E1453" s="21"/>
      <c r="F1453" s="2">
        <f t="shared" si="31"/>
        <v>0</v>
      </c>
      <c r="G1453" s="3" t="str">
        <f>HYPERLINK("http://tmmp-catalog.com.ua/katalog/26/16847/","фото")</f>
        <v>фото</v>
      </c>
      <c r="H1453" s="22"/>
    </row>
    <row r="1454" spans="1:8" ht="15" x14ac:dyDescent="0.2">
      <c r="A1454" s="18"/>
      <c r="B1454" s="19" t="s">
        <v>2946</v>
      </c>
      <c r="C1454" s="20" t="s">
        <v>2947</v>
      </c>
      <c r="D1454" s="2">
        <v>1.8</v>
      </c>
      <c r="E1454" s="21"/>
      <c r="F1454" s="2">
        <f t="shared" si="31"/>
        <v>0</v>
      </c>
      <c r="G1454" s="3" t="str">
        <f>HYPERLINK("http://tmmp-catalog.com.ua/katalog/37/18787/","фото")</f>
        <v>фото</v>
      </c>
      <c r="H1454" s="22"/>
    </row>
    <row r="1455" spans="1:8" ht="15" x14ac:dyDescent="0.2">
      <c r="A1455" s="18">
        <v>2000000018577</v>
      </c>
      <c r="B1455" s="19" t="s">
        <v>2948</v>
      </c>
      <c r="C1455" s="20" t="s">
        <v>2949</v>
      </c>
      <c r="D1455" s="2">
        <v>2.15</v>
      </c>
      <c r="E1455" s="21"/>
      <c r="F1455" s="2">
        <f t="shared" si="31"/>
        <v>0</v>
      </c>
      <c r="G1455" s="3" t="str">
        <f>HYPERLINK("http://tmmp-catalog.com.ua/katalog/25/13810/","фото")</f>
        <v>фото</v>
      </c>
      <c r="H1455" s="22"/>
    </row>
    <row r="1456" spans="1:8" ht="15" x14ac:dyDescent="0.2">
      <c r="A1456" s="18">
        <v>2000000022840</v>
      </c>
      <c r="B1456" s="19" t="s">
        <v>2950</v>
      </c>
      <c r="C1456" s="20" t="s">
        <v>2951</v>
      </c>
      <c r="D1456" s="2">
        <v>1</v>
      </c>
      <c r="E1456" s="21"/>
      <c r="F1456" s="2">
        <f t="shared" si="31"/>
        <v>0</v>
      </c>
      <c r="G1456" s="3" t="str">
        <f>HYPERLINK("http://tmmp-catalog.com.ua/katalog/28/15132/","фото")</f>
        <v>фото</v>
      </c>
      <c r="H1456" s="22"/>
    </row>
    <row r="1457" spans="1:8" ht="15" x14ac:dyDescent="0.2">
      <c r="A1457" s="18">
        <v>2000000018584</v>
      </c>
      <c r="B1457" s="19" t="s">
        <v>2952</v>
      </c>
      <c r="C1457" s="20" t="s">
        <v>2953</v>
      </c>
      <c r="D1457" s="2">
        <v>14</v>
      </c>
      <c r="E1457" s="21"/>
      <c r="F1457" s="2">
        <f t="shared" si="31"/>
        <v>0</v>
      </c>
      <c r="G1457" s="3" t="str">
        <f>HYPERLINK("http://tmmp-catalog.com.ua/katalog/25/13811/","фото")</f>
        <v>фото</v>
      </c>
      <c r="H1457" s="22"/>
    </row>
    <row r="1458" spans="1:8" ht="15" x14ac:dyDescent="0.2">
      <c r="A1458" s="18">
        <v>2000000022871</v>
      </c>
      <c r="B1458" s="19" t="s">
        <v>2954</v>
      </c>
      <c r="C1458" s="20" t="s">
        <v>2955</v>
      </c>
      <c r="D1458" s="2">
        <v>0.1</v>
      </c>
      <c r="E1458" s="21"/>
      <c r="F1458" s="2">
        <f t="shared" si="31"/>
        <v>0</v>
      </c>
      <c r="G1458" s="3" t="str">
        <f>HYPERLINK("http://tmmp-catalog.com.ua/katalog/28/15135/","фото")</f>
        <v>фото</v>
      </c>
      <c r="H1458" s="22"/>
    </row>
    <row r="1459" spans="1:8" ht="15" x14ac:dyDescent="0.2">
      <c r="A1459" s="18">
        <v>2000000023687</v>
      </c>
      <c r="B1459" s="19" t="s">
        <v>2956</v>
      </c>
      <c r="C1459" s="20" t="s">
        <v>2957</v>
      </c>
      <c r="D1459" s="2">
        <v>0.1</v>
      </c>
      <c r="E1459" s="21"/>
      <c r="F1459" s="2">
        <f t="shared" si="31"/>
        <v>0</v>
      </c>
      <c r="G1459" s="3" t="str">
        <f>HYPERLINK("http://tmmp-catalog.com.ua/katalog/28/16638/","фото")</f>
        <v>фото</v>
      </c>
      <c r="H1459" s="22"/>
    </row>
    <row r="1460" spans="1:8" ht="15" x14ac:dyDescent="0.2">
      <c r="A1460" s="18">
        <v>2000000018591</v>
      </c>
      <c r="B1460" s="19" t="s">
        <v>2958</v>
      </c>
      <c r="C1460" s="20" t="s">
        <v>2959</v>
      </c>
      <c r="D1460" s="2">
        <v>0.1</v>
      </c>
      <c r="E1460" s="21"/>
      <c r="F1460" s="2">
        <f t="shared" si="31"/>
        <v>0</v>
      </c>
      <c r="G1460" s="3" t="str">
        <f>HYPERLINK("http://tmmp-catalog.com.ua/katalog/25/13812/","фото")</f>
        <v>фото</v>
      </c>
      <c r="H1460" s="22"/>
    </row>
    <row r="1461" spans="1:8" ht="15" x14ac:dyDescent="0.2">
      <c r="A1461" s="18">
        <v>2000000021928</v>
      </c>
      <c r="B1461" s="19" t="s">
        <v>2960</v>
      </c>
      <c r="C1461" s="20" t="s">
        <v>2961</v>
      </c>
      <c r="D1461" s="2">
        <v>0.1</v>
      </c>
      <c r="E1461" s="21"/>
      <c r="F1461" s="2">
        <f t="shared" si="31"/>
        <v>0</v>
      </c>
      <c r="G1461" s="3" t="str">
        <f>HYPERLINK("http://tmmp-catalog.com.ua/katalog/26/16862/","фото")</f>
        <v>фото</v>
      </c>
      <c r="H1461" s="22"/>
    </row>
    <row r="1462" spans="1:8" ht="15" x14ac:dyDescent="0.2">
      <c r="A1462" s="18">
        <v>2000000020938</v>
      </c>
      <c r="B1462" s="19" t="s">
        <v>2962</v>
      </c>
      <c r="C1462" s="20" t="s">
        <v>2963</v>
      </c>
      <c r="D1462" s="2">
        <v>0.4</v>
      </c>
      <c r="E1462" s="21"/>
      <c r="F1462" s="2">
        <f t="shared" si="31"/>
        <v>0</v>
      </c>
      <c r="G1462" s="3" t="str">
        <f>HYPERLINK("http://tmmp-catalog.com.ua/katalog/26/14474/","фото")</f>
        <v>фото</v>
      </c>
      <c r="H1462" s="22"/>
    </row>
    <row r="1463" spans="1:8" ht="15" x14ac:dyDescent="0.2">
      <c r="A1463" s="18"/>
      <c r="B1463" s="19" t="s">
        <v>2964</v>
      </c>
      <c r="C1463" s="20" t="s">
        <v>2965</v>
      </c>
      <c r="D1463" s="2">
        <v>2.4</v>
      </c>
      <c r="E1463" s="21"/>
      <c r="F1463" s="2">
        <f t="shared" si="31"/>
        <v>0</v>
      </c>
      <c r="G1463" s="3" t="str">
        <f>HYPERLINK("http://tmmp-catalog.com.ua/katalog/25/17347/","фото")</f>
        <v>фото</v>
      </c>
      <c r="H1463" s="22"/>
    </row>
    <row r="1464" spans="1:8" ht="15" x14ac:dyDescent="0.2">
      <c r="A1464" s="18">
        <v>2000000020945</v>
      </c>
      <c r="B1464" s="19" t="s">
        <v>2966</v>
      </c>
      <c r="C1464" s="20" t="s">
        <v>2967</v>
      </c>
      <c r="D1464" s="2">
        <v>3.6</v>
      </c>
      <c r="E1464" s="21"/>
      <c r="F1464" s="2">
        <f t="shared" si="31"/>
        <v>0</v>
      </c>
      <c r="G1464" s="3" t="str">
        <f>HYPERLINK("http://tmmp-catalog.com.ua/katalog/26/14475/","фото")</f>
        <v>фото</v>
      </c>
      <c r="H1464" s="22"/>
    </row>
    <row r="1465" spans="1:8" ht="15" x14ac:dyDescent="0.2">
      <c r="A1465" s="18">
        <v>2000000022895</v>
      </c>
      <c r="B1465" s="19" t="s">
        <v>2968</v>
      </c>
      <c r="C1465" s="20" t="s">
        <v>2969</v>
      </c>
      <c r="D1465" s="2">
        <v>9.6999999999999993</v>
      </c>
      <c r="E1465" s="21"/>
      <c r="F1465" s="2">
        <f t="shared" si="31"/>
        <v>0</v>
      </c>
      <c r="G1465" s="3" t="str">
        <f>HYPERLINK("http://tmmp-catalog.com.ua/katalog/28/15138/","фото")</f>
        <v>фото</v>
      </c>
      <c r="H1465" s="22"/>
    </row>
    <row r="1466" spans="1:8" ht="15" x14ac:dyDescent="0.2">
      <c r="A1466" s="18">
        <v>2000000020372</v>
      </c>
      <c r="B1466" s="19" t="s">
        <v>2970</v>
      </c>
      <c r="C1466" s="20" t="s">
        <v>2971</v>
      </c>
      <c r="D1466" s="2">
        <v>0.8</v>
      </c>
      <c r="E1466" s="21"/>
      <c r="F1466" s="2">
        <f t="shared" si="31"/>
        <v>0</v>
      </c>
      <c r="G1466" s="3" t="str">
        <f>HYPERLINK("http://tmmp-catalog.com.ua/katalog/25/16930/","фото")</f>
        <v>фото</v>
      </c>
      <c r="H1466" s="22"/>
    </row>
    <row r="1467" spans="1:8" ht="15" x14ac:dyDescent="0.2">
      <c r="A1467" s="18">
        <v>2000000018614</v>
      </c>
      <c r="B1467" s="19" t="s">
        <v>2972</v>
      </c>
      <c r="C1467" s="20" t="s">
        <v>2973</v>
      </c>
      <c r="D1467" s="2">
        <v>0.15</v>
      </c>
      <c r="E1467" s="21"/>
      <c r="F1467" s="2">
        <f t="shared" si="31"/>
        <v>0</v>
      </c>
      <c r="G1467" s="3" t="str">
        <f>HYPERLINK("http://tmmp-catalog.com.ua/katalog/25/13814/","фото")</f>
        <v>фото</v>
      </c>
      <c r="H1467" s="22"/>
    </row>
    <row r="1468" spans="1:8" ht="15" x14ac:dyDescent="0.2">
      <c r="A1468" s="18"/>
      <c r="B1468" s="19" t="s">
        <v>2974</v>
      </c>
      <c r="C1468" s="20" t="s">
        <v>2975</v>
      </c>
      <c r="D1468" s="2">
        <v>52</v>
      </c>
      <c r="E1468" s="21"/>
      <c r="F1468" s="2">
        <f t="shared" si="31"/>
        <v>0</v>
      </c>
      <c r="G1468" s="3" t="str">
        <f>HYPERLINK("http://tmmp-catalog.com.ua/katalog/25/18898/","фото")</f>
        <v>фото</v>
      </c>
      <c r="H1468" s="22"/>
    </row>
    <row r="1469" spans="1:8" ht="15" x14ac:dyDescent="0.2">
      <c r="A1469" s="18"/>
      <c r="B1469" s="19" t="s">
        <v>2976</v>
      </c>
      <c r="C1469" s="20" t="s">
        <v>2977</v>
      </c>
      <c r="D1469" s="2">
        <v>8</v>
      </c>
      <c r="E1469" s="21"/>
      <c r="F1469" s="2">
        <f t="shared" si="31"/>
        <v>0</v>
      </c>
      <c r="G1469" s="3" t="str">
        <f>HYPERLINK("http://tmmp-catalog.com.ua/katalog/37/18578/","фото")</f>
        <v>фото</v>
      </c>
      <c r="H1469" s="22"/>
    </row>
    <row r="1470" spans="1:8" ht="15" x14ac:dyDescent="0.2">
      <c r="A1470" s="18">
        <v>2000000018652</v>
      </c>
      <c r="B1470" s="19" t="s">
        <v>2978</v>
      </c>
      <c r="C1470" s="20" t="s">
        <v>2979</v>
      </c>
      <c r="D1470" s="2">
        <v>6</v>
      </c>
      <c r="E1470" s="21"/>
      <c r="F1470" s="2">
        <f t="shared" si="31"/>
        <v>0</v>
      </c>
      <c r="G1470" s="3" t="str">
        <f>HYPERLINK("http://tmmp-catalog.com.ua/katalog/25/13818/","фото")</f>
        <v>фото</v>
      </c>
      <c r="H1470" s="22"/>
    </row>
    <row r="1471" spans="1:8" ht="15" x14ac:dyDescent="0.2">
      <c r="A1471" s="18">
        <v>2000000020242</v>
      </c>
      <c r="B1471" s="19" t="s">
        <v>2980</v>
      </c>
      <c r="C1471" s="20" t="s">
        <v>2981</v>
      </c>
      <c r="D1471" s="2">
        <v>6</v>
      </c>
      <c r="E1471" s="21"/>
      <c r="F1471" s="2">
        <f t="shared" si="31"/>
        <v>0</v>
      </c>
      <c r="G1471" s="3" t="str">
        <f>HYPERLINK("http://tmmp-catalog.com.ua/katalog/25/16916/","фото")</f>
        <v>фото</v>
      </c>
      <c r="H1471" s="22"/>
    </row>
    <row r="1472" spans="1:8" ht="15" x14ac:dyDescent="0.2">
      <c r="A1472" s="18">
        <v>2000000018669</v>
      </c>
      <c r="B1472" s="19" t="s">
        <v>2982</v>
      </c>
      <c r="C1472" s="20" t="s">
        <v>2983</v>
      </c>
      <c r="D1472" s="2">
        <v>6.5</v>
      </c>
      <c r="E1472" s="21"/>
      <c r="F1472" s="2">
        <f t="shared" si="31"/>
        <v>0</v>
      </c>
      <c r="G1472" s="3" t="str">
        <f>HYPERLINK("http://tmmp-catalog.com.ua/katalog/25/13819/","фото")</f>
        <v>фото</v>
      </c>
      <c r="H1472" s="22"/>
    </row>
    <row r="1473" spans="1:8" ht="15" x14ac:dyDescent="0.2">
      <c r="A1473" s="18"/>
      <c r="B1473" s="19" t="s">
        <v>2984</v>
      </c>
      <c r="C1473" s="20" t="s">
        <v>2985</v>
      </c>
      <c r="D1473" s="2">
        <v>5</v>
      </c>
      <c r="E1473" s="21"/>
      <c r="F1473" s="2">
        <f t="shared" si="31"/>
        <v>0</v>
      </c>
      <c r="G1473" s="3" t="str">
        <f>HYPERLINK("http://tmmp-catalog.com.ua/katalog/37/18424/","фото")</f>
        <v>фото</v>
      </c>
      <c r="H1473" s="22"/>
    </row>
    <row r="1474" spans="1:8" ht="15" x14ac:dyDescent="0.2">
      <c r="A1474" s="18">
        <v>2000000018713</v>
      </c>
      <c r="B1474" s="19" t="s">
        <v>2986</v>
      </c>
      <c r="C1474" s="20" t="s">
        <v>2987</v>
      </c>
      <c r="D1474" s="2">
        <v>3.7</v>
      </c>
      <c r="E1474" s="21"/>
      <c r="F1474" s="2">
        <f t="shared" si="31"/>
        <v>0</v>
      </c>
      <c r="G1474" s="3" t="str">
        <f>HYPERLINK("http://tmmp-catalog.com.ua/katalog/25/13824/","фото")</f>
        <v>фото</v>
      </c>
      <c r="H1474" s="22"/>
    </row>
    <row r="1475" spans="1:8" ht="15" x14ac:dyDescent="0.2">
      <c r="A1475" s="18">
        <v>2000000018720</v>
      </c>
      <c r="B1475" s="19" t="s">
        <v>2988</v>
      </c>
      <c r="C1475" s="20" t="s">
        <v>2989</v>
      </c>
      <c r="D1475" s="2">
        <v>3.7</v>
      </c>
      <c r="E1475" s="21"/>
      <c r="F1475" s="2">
        <f t="shared" si="31"/>
        <v>0</v>
      </c>
      <c r="G1475" s="3" t="str">
        <f>HYPERLINK("http://tmmp-catalog.com.ua/katalog/25/13825/","фото")</f>
        <v>фото</v>
      </c>
      <c r="H1475" s="22"/>
    </row>
    <row r="1476" spans="1:8" ht="15" x14ac:dyDescent="0.2">
      <c r="A1476" s="18">
        <v>2000000018737</v>
      </c>
      <c r="B1476" s="19" t="s">
        <v>2990</v>
      </c>
      <c r="C1476" s="20" t="s">
        <v>2991</v>
      </c>
      <c r="D1476" s="2">
        <v>2.5</v>
      </c>
      <c r="E1476" s="21"/>
      <c r="F1476" s="2">
        <f t="shared" si="31"/>
        <v>0</v>
      </c>
      <c r="G1476" s="3" t="str">
        <f>HYPERLINK("http://tmmp-catalog.com.ua/katalog/25/13826/","фото")</f>
        <v>фото</v>
      </c>
      <c r="H1476" s="22"/>
    </row>
    <row r="1477" spans="1:8" ht="15" x14ac:dyDescent="0.2">
      <c r="A1477" s="18"/>
      <c r="B1477" s="19" t="s">
        <v>2992</v>
      </c>
      <c r="C1477" s="20" t="s">
        <v>2993</v>
      </c>
      <c r="D1477" s="2">
        <v>2.2000000000000002</v>
      </c>
      <c r="E1477" s="21"/>
      <c r="F1477" s="2">
        <f t="shared" si="31"/>
        <v>0</v>
      </c>
      <c r="G1477" s="3" t="str">
        <f>HYPERLINK("http://tmmp-catalog.com.ua/katalog/25/17348/","фото")</f>
        <v>фото</v>
      </c>
      <c r="H1477" s="22"/>
    </row>
    <row r="1478" spans="1:8" ht="15" x14ac:dyDescent="0.2">
      <c r="A1478" s="18">
        <v>2000000018683</v>
      </c>
      <c r="B1478" s="19" t="s">
        <v>2994</v>
      </c>
      <c r="C1478" s="20" t="s">
        <v>2995</v>
      </c>
      <c r="D1478" s="2">
        <v>2</v>
      </c>
      <c r="E1478" s="21"/>
      <c r="F1478" s="2">
        <f t="shared" si="31"/>
        <v>0</v>
      </c>
      <c r="G1478" s="3" t="str">
        <f>HYPERLINK("http://tmmp-catalog.com.ua/katalog/25/13821/","фото")</f>
        <v>фото</v>
      </c>
      <c r="H1478" s="22"/>
    </row>
    <row r="1479" spans="1:8" ht="15" x14ac:dyDescent="0.2">
      <c r="A1479" s="18">
        <v>2000000018690</v>
      </c>
      <c r="B1479" s="19" t="s">
        <v>2996</v>
      </c>
      <c r="C1479" s="20" t="s">
        <v>2997</v>
      </c>
      <c r="D1479" s="2">
        <v>2</v>
      </c>
      <c r="E1479" s="21"/>
      <c r="F1479" s="2">
        <f t="shared" si="31"/>
        <v>0</v>
      </c>
      <c r="G1479" s="3" t="str">
        <f>HYPERLINK("http://tmmp-catalog.com.ua/katalog/25/13822/","фото")</f>
        <v>фото</v>
      </c>
      <c r="H1479" s="22"/>
    </row>
    <row r="1480" spans="1:8" ht="15" x14ac:dyDescent="0.2">
      <c r="A1480" s="18">
        <v>2000000018768</v>
      </c>
      <c r="B1480" s="19" t="s">
        <v>2998</v>
      </c>
      <c r="C1480" s="20" t="s">
        <v>2999</v>
      </c>
      <c r="D1480" s="2">
        <v>3.7</v>
      </c>
      <c r="E1480" s="21"/>
      <c r="F1480" s="2">
        <f t="shared" si="31"/>
        <v>0</v>
      </c>
      <c r="G1480" s="3" t="str">
        <f>HYPERLINK("http://tmmp-catalog.com.ua/katalog/25/13829/","фото")</f>
        <v>фото</v>
      </c>
      <c r="H1480" s="22"/>
    </row>
    <row r="1481" spans="1:8" ht="15" x14ac:dyDescent="0.2">
      <c r="A1481" s="18">
        <v>2000000018775</v>
      </c>
      <c r="B1481" s="19" t="s">
        <v>3000</v>
      </c>
      <c r="C1481" s="20" t="s">
        <v>3001</v>
      </c>
      <c r="D1481" s="2">
        <v>2</v>
      </c>
      <c r="E1481" s="21"/>
      <c r="F1481" s="2">
        <f t="shared" si="31"/>
        <v>0</v>
      </c>
      <c r="G1481" s="3" t="str">
        <f>HYPERLINK("http://tmmp-catalog.com.ua/katalog/25/13830/","фото")</f>
        <v>фото</v>
      </c>
      <c r="H1481" s="22"/>
    </row>
    <row r="1482" spans="1:8" ht="15" x14ac:dyDescent="0.2">
      <c r="A1482" s="18">
        <v>2000000018904</v>
      </c>
      <c r="B1482" s="19" t="s">
        <v>3002</v>
      </c>
      <c r="C1482" s="20" t="s">
        <v>3003</v>
      </c>
      <c r="D1482" s="2">
        <v>2</v>
      </c>
      <c r="E1482" s="21"/>
      <c r="F1482" s="2">
        <f t="shared" si="31"/>
        <v>0</v>
      </c>
      <c r="G1482" s="3" t="str">
        <f>HYPERLINK("http://tmmp-catalog.com.ua/katalog/25/13843/","фото")</f>
        <v>фото</v>
      </c>
      <c r="H1482" s="22"/>
    </row>
    <row r="1483" spans="1:8" ht="15" x14ac:dyDescent="0.2">
      <c r="A1483" s="18">
        <v>2000000018911</v>
      </c>
      <c r="B1483" s="19" t="s">
        <v>3004</v>
      </c>
      <c r="C1483" s="20" t="s">
        <v>3005</v>
      </c>
      <c r="D1483" s="2">
        <v>2</v>
      </c>
      <c r="E1483" s="21"/>
      <c r="F1483" s="2">
        <f t="shared" ref="F1483:F1546" si="32">cena*zakaz</f>
        <v>0</v>
      </c>
      <c r="G1483" s="3" t="str">
        <f>HYPERLINK("http://tmmp-catalog.com.ua/katalog/25/13844/","фото")</f>
        <v>фото</v>
      </c>
      <c r="H1483" s="22"/>
    </row>
    <row r="1484" spans="1:8" ht="15" x14ac:dyDescent="0.2">
      <c r="A1484" s="18"/>
      <c r="B1484" s="19" t="s">
        <v>3006</v>
      </c>
      <c r="C1484" s="20" t="s">
        <v>3007</v>
      </c>
      <c r="D1484" s="2">
        <v>2</v>
      </c>
      <c r="E1484" s="21"/>
      <c r="F1484" s="2">
        <f t="shared" si="32"/>
        <v>0</v>
      </c>
      <c r="G1484" s="3" t="str">
        <f>HYPERLINK("http://tmmp-catalog.com.ua/katalog/37/18434/","фото")</f>
        <v>фото</v>
      </c>
      <c r="H1484" s="22"/>
    </row>
    <row r="1485" spans="1:8" ht="15" x14ac:dyDescent="0.2">
      <c r="A1485" s="18">
        <v>2000000018928</v>
      </c>
      <c r="B1485" s="19" t="s">
        <v>3008</v>
      </c>
      <c r="C1485" s="20" t="s">
        <v>3009</v>
      </c>
      <c r="D1485" s="2">
        <v>2</v>
      </c>
      <c r="E1485" s="21"/>
      <c r="F1485" s="2">
        <f t="shared" si="32"/>
        <v>0</v>
      </c>
      <c r="G1485" s="3" t="str">
        <f>HYPERLINK("http://tmmp-catalog.com.ua/katalog/25/13845/","фото")</f>
        <v>фото</v>
      </c>
      <c r="H1485" s="22"/>
    </row>
    <row r="1486" spans="1:8" ht="15" x14ac:dyDescent="0.2">
      <c r="A1486" s="18">
        <v>2000000018935</v>
      </c>
      <c r="B1486" s="19" t="s">
        <v>3010</v>
      </c>
      <c r="C1486" s="20" t="s">
        <v>3011</v>
      </c>
      <c r="D1486" s="2">
        <v>2</v>
      </c>
      <c r="E1486" s="21"/>
      <c r="F1486" s="2">
        <f t="shared" si="32"/>
        <v>0</v>
      </c>
      <c r="G1486" s="3" t="str">
        <f>HYPERLINK("http://tmmp-catalog.com.ua/katalog/25/13846/","фото")</f>
        <v>фото</v>
      </c>
      <c r="H1486" s="22"/>
    </row>
    <row r="1487" spans="1:8" ht="15" x14ac:dyDescent="0.2">
      <c r="A1487" s="18"/>
      <c r="B1487" s="19" t="s">
        <v>3012</v>
      </c>
      <c r="C1487" s="20" t="s">
        <v>3013</v>
      </c>
      <c r="D1487" s="2">
        <v>2</v>
      </c>
      <c r="E1487" s="21"/>
      <c r="F1487" s="2">
        <f t="shared" si="32"/>
        <v>0</v>
      </c>
      <c r="G1487" s="3" t="str">
        <f>HYPERLINK("http://tmmp-catalog.com.ua/katalog/37/18435/","фото")</f>
        <v>фото</v>
      </c>
      <c r="H1487" s="22"/>
    </row>
    <row r="1488" spans="1:8" ht="15" x14ac:dyDescent="0.2">
      <c r="A1488" s="18">
        <v>2000000018997</v>
      </c>
      <c r="B1488" s="19" t="s">
        <v>3014</v>
      </c>
      <c r="C1488" s="20" t="s">
        <v>3015</v>
      </c>
      <c r="D1488" s="2">
        <v>2</v>
      </c>
      <c r="E1488" s="21"/>
      <c r="F1488" s="2">
        <f t="shared" si="32"/>
        <v>0</v>
      </c>
      <c r="G1488" s="3" t="str">
        <f>HYPERLINK("http://tmmp-catalog.com.ua/katalog/25/13852/","фото")</f>
        <v>фото</v>
      </c>
      <c r="H1488" s="22"/>
    </row>
    <row r="1489" spans="1:8" ht="15" x14ac:dyDescent="0.2">
      <c r="A1489" s="18">
        <v>2000000019000</v>
      </c>
      <c r="B1489" s="19" t="s">
        <v>3016</v>
      </c>
      <c r="C1489" s="20" t="s">
        <v>3017</v>
      </c>
      <c r="D1489" s="2">
        <v>2</v>
      </c>
      <c r="E1489" s="21"/>
      <c r="F1489" s="2">
        <f t="shared" si="32"/>
        <v>0</v>
      </c>
      <c r="G1489" s="3" t="str">
        <f>HYPERLINK("http://tmmp-catalog.com.ua/katalog/25/13853/","фото")</f>
        <v>фото</v>
      </c>
      <c r="H1489" s="22"/>
    </row>
    <row r="1490" spans="1:8" ht="15" x14ac:dyDescent="0.2">
      <c r="A1490" s="18">
        <v>2000000019017</v>
      </c>
      <c r="B1490" s="19" t="s">
        <v>3018</v>
      </c>
      <c r="C1490" s="20" t="s">
        <v>3019</v>
      </c>
      <c r="D1490" s="2">
        <v>2</v>
      </c>
      <c r="E1490" s="21"/>
      <c r="F1490" s="2">
        <f t="shared" si="32"/>
        <v>0</v>
      </c>
      <c r="G1490" s="3" t="str">
        <f>HYPERLINK("http://tmmp-catalog.com.ua/katalog/25/13854/","фото")</f>
        <v>фото</v>
      </c>
      <c r="H1490" s="22"/>
    </row>
    <row r="1491" spans="1:8" ht="15" x14ac:dyDescent="0.2">
      <c r="A1491" s="18">
        <v>2000000019024</v>
      </c>
      <c r="B1491" s="19" t="s">
        <v>3020</v>
      </c>
      <c r="C1491" s="20" t="s">
        <v>3021</v>
      </c>
      <c r="D1491" s="2">
        <v>2</v>
      </c>
      <c r="E1491" s="21"/>
      <c r="F1491" s="2">
        <f t="shared" si="32"/>
        <v>0</v>
      </c>
      <c r="G1491" s="3" t="str">
        <f>HYPERLINK("http://tmmp-catalog.com.ua/katalog/25/13855/","фото")</f>
        <v>фото</v>
      </c>
      <c r="H1491" s="22"/>
    </row>
    <row r="1492" spans="1:8" ht="15" x14ac:dyDescent="0.2">
      <c r="A1492" s="18">
        <v>2000000019031</v>
      </c>
      <c r="B1492" s="19" t="s">
        <v>3022</v>
      </c>
      <c r="C1492" s="20" t="s">
        <v>3023</v>
      </c>
      <c r="D1492" s="2">
        <v>2</v>
      </c>
      <c r="E1492" s="21"/>
      <c r="F1492" s="2">
        <f t="shared" si="32"/>
        <v>0</v>
      </c>
      <c r="G1492" s="3" t="str">
        <f>HYPERLINK("http://tmmp-catalog.com.ua/katalog/25/13856/","фото")</f>
        <v>фото</v>
      </c>
      <c r="H1492" s="22"/>
    </row>
    <row r="1493" spans="1:8" ht="15" x14ac:dyDescent="0.2">
      <c r="A1493" s="18">
        <v>2000000019048</v>
      </c>
      <c r="B1493" s="19" t="s">
        <v>3024</v>
      </c>
      <c r="C1493" s="20" t="s">
        <v>3025</v>
      </c>
      <c r="D1493" s="2">
        <v>2</v>
      </c>
      <c r="E1493" s="21"/>
      <c r="F1493" s="2">
        <f t="shared" si="32"/>
        <v>0</v>
      </c>
      <c r="G1493" s="3" t="str">
        <f>HYPERLINK("http://tmmp-catalog.com.ua/katalog/25/13857/","фото")</f>
        <v>фото</v>
      </c>
      <c r="H1493" s="22"/>
    </row>
    <row r="1494" spans="1:8" ht="15" x14ac:dyDescent="0.2">
      <c r="A1494" s="18">
        <v>2000000019055</v>
      </c>
      <c r="B1494" s="19" t="s">
        <v>3026</v>
      </c>
      <c r="C1494" s="20" t="s">
        <v>3027</v>
      </c>
      <c r="D1494" s="2">
        <v>2</v>
      </c>
      <c r="E1494" s="21"/>
      <c r="F1494" s="2">
        <f t="shared" si="32"/>
        <v>0</v>
      </c>
      <c r="G1494" s="3" t="str">
        <f>HYPERLINK("http://tmmp-catalog.com.ua/katalog/25/13858/","фото")</f>
        <v>фото</v>
      </c>
      <c r="H1494" s="22"/>
    </row>
    <row r="1495" spans="1:8" ht="15" x14ac:dyDescent="0.2">
      <c r="A1495" s="18">
        <v>2000000019062</v>
      </c>
      <c r="B1495" s="19" t="s">
        <v>3028</v>
      </c>
      <c r="C1495" s="20" t="s">
        <v>3029</v>
      </c>
      <c r="D1495" s="2">
        <v>2</v>
      </c>
      <c r="E1495" s="21"/>
      <c r="F1495" s="2">
        <f t="shared" si="32"/>
        <v>0</v>
      </c>
      <c r="G1495" s="3" t="str">
        <f>HYPERLINK("http://tmmp-catalog.com.ua/katalog/25/13859/","фото")</f>
        <v>фото</v>
      </c>
      <c r="H1495" s="22"/>
    </row>
    <row r="1496" spans="1:8" ht="15" x14ac:dyDescent="0.2">
      <c r="A1496" s="18">
        <v>2000000018942</v>
      </c>
      <c r="B1496" s="19" t="s">
        <v>3030</v>
      </c>
      <c r="C1496" s="20" t="s">
        <v>3031</v>
      </c>
      <c r="D1496" s="2">
        <v>2</v>
      </c>
      <c r="E1496" s="21"/>
      <c r="F1496" s="2">
        <f t="shared" si="32"/>
        <v>0</v>
      </c>
      <c r="G1496" s="3" t="str">
        <f>HYPERLINK("http://tmmp-catalog.com.ua/katalog/25/13847/","фото")</f>
        <v>фото</v>
      </c>
      <c r="H1496" s="22"/>
    </row>
    <row r="1497" spans="1:8" ht="15" x14ac:dyDescent="0.2">
      <c r="A1497" s="18">
        <v>2000000018959</v>
      </c>
      <c r="B1497" s="19" t="s">
        <v>3032</v>
      </c>
      <c r="C1497" s="20" t="s">
        <v>3033</v>
      </c>
      <c r="D1497" s="2">
        <v>3.7</v>
      </c>
      <c r="E1497" s="21"/>
      <c r="F1497" s="2">
        <f t="shared" si="32"/>
        <v>0</v>
      </c>
      <c r="G1497" s="3" t="str">
        <f>HYPERLINK("http://tmmp-catalog.com.ua/katalog/25/13848/","фото")</f>
        <v>фото</v>
      </c>
      <c r="H1497" s="22"/>
    </row>
    <row r="1498" spans="1:8" ht="15" x14ac:dyDescent="0.2">
      <c r="A1498" s="18">
        <v>2000000019093</v>
      </c>
      <c r="B1498" s="19" t="s">
        <v>3034</v>
      </c>
      <c r="C1498" s="20" t="s">
        <v>3035</v>
      </c>
      <c r="D1498" s="2">
        <v>2.2000000000000002</v>
      </c>
      <c r="E1498" s="21"/>
      <c r="F1498" s="2">
        <f t="shared" si="32"/>
        <v>0</v>
      </c>
      <c r="G1498" s="3" t="str">
        <f>HYPERLINK("http://tmmp-catalog.com.ua/katalog/25/13862/","фото")</f>
        <v>фото</v>
      </c>
      <c r="H1498" s="22"/>
    </row>
    <row r="1499" spans="1:8" ht="15" x14ac:dyDescent="0.2">
      <c r="A1499" s="18">
        <v>2000000019109</v>
      </c>
      <c r="B1499" s="19" t="s">
        <v>3036</v>
      </c>
      <c r="C1499" s="20" t="s">
        <v>3037</v>
      </c>
      <c r="D1499" s="2">
        <v>2.5</v>
      </c>
      <c r="E1499" s="21"/>
      <c r="F1499" s="2">
        <f t="shared" si="32"/>
        <v>0</v>
      </c>
      <c r="G1499" s="3" t="str">
        <f>HYPERLINK("http://tmmp-catalog.com.ua/katalog/25/13863/","фото")</f>
        <v>фото</v>
      </c>
      <c r="H1499" s="22"/>
    </row>
    <row r="1500" spans="1:8" ht="15" x14ac:dyDescent="0.2">
      <c r="A1500" s="18">
        <v>2000000019116</v>
      </c>
      <c r="B1500" s="19" t="s">
        <v>3038</v>
      </c>
      <c r="C1500" s="20" t="s">
        <v>3039</v>
      </c>
      <c r="D1500" s="2">
        <v>2.2000000000000002</v>
      </c>
      <c r="E1500" s="21"/>
      <c r="F1500" s="2">
        <f t="shared" si="32"/>
        <v>0</v>
      </c>
      <c r="G1500" s="3" t="str">
        <f>HYPERLINK("http://tmmp-catalog.com.ua/katalog/25/13864/","фото")</f>
        <v>фото</v>
      </c>
      <c r="H1500" s="22"/>
    </row>
    <row r="1501" spans="1:8" ht="15" x14ac:dyDescent="0.2">
      <c r="A1501" s="18">
        <v>2000000019123</v>
      </c>
      <c r="B1501" s="19" t="s">
        <v>3040</v>
      </c>
      <c r="C1501" s="20" t="s">
        <v>3041</v>
      </c>
      <c r="D1501" s="2">
        <v>2</v>
      </c>
      <c r="E1501" s="21"/>
      <c r="F1501" s="2">
        <f t="shared" si="32"/>
        <v>0</v>
      </c>
      <c r="G1501" s="3" t="str">
        <f>HYPERLINK("http://tmmp-catalog.com.ua/katalog/25/13865/","фото")</f>
        <v>фото</v>
      </c>
      <c r="H1501" s="22"/>
    </row>
    <row r="1502" spans="1:8" ht="15" x14ac:dyDescent="0.2">
      <c r="A1502" s="18">
        <v>2000000018966</v>
      </c>
      <c r="B1502" s="19" t="s">
        <v>3042</v>
      </c>
      <c r="C1502" s="20" t="s">
        <v>3043</v>
      </c>
      <c r="D1502" s="2">
        <v>3.7</v>
      </c>
      <c r="E1502" s="21"/>
      <c r="F1502" s="2">
        <f t="shared" si="32"/>
        <v>0</v>
      </c>
      <c r="G1502" s="3" t="str">
        <f>HYPERLINK("http://tmmp-catalog.com.ua/katalog/25/13849/","фото")</f>
        <v>фото</v>
      </c>
      <c r="H1502" s="22"/>
    </row>
    <row r="1503" spans="1:8" ht="15" x14ac:dyDescent="0.2">
      <c r="A1503" s="18">
        <v>2000000020976</v>
      </c>
      <c r="B1503" s="19" t="s">
        <v>3044</v>
      </c>
      <c r="C1503" s="20" t="s">
        <v>3045</v>
      </c>
      <c r="D1503" s="2">
        <v>2</v>
      </c>
      <c r="E1503" s="21"/>
      <c r="F1503" s="2">
        <f t="shared" si="32"/>
        <v>0</v>
      </c>
      <c r="G1503" s="3" t="str">
        <f>HYPERLINK("http://tmmp-catalog.com.ua/katalog/26/14478/","фото")</f>
        <v>фото</v>
      </c>
      <c r="H1503" s="22"/>
    </row>
    <row r="1504" spans="1:8" ht="15" x14ac:dyDescent="0.2">
      <c r="A1504" s="18">
        <v>2000000020983</v>
      </c>
      <c r="B1504" s="19" t="s">
        <v>3046</v>
      </c>
      <c r="C1504" s="20" t="s">
        <v>3047</v>
      </c>
      <c r="D1504" s="2">
        <v>2</v>
      </c>
      <c r="E1504" s="21"/>
      <c r="F1504" s="2">
        <f t="shared" si="32"/>
        <v>0</v>
      </c>
      <c r="G1504" s="3" t="str">
        <f>HYPERLINK("http://tmmp-catalog.com.ua/katalog/26/14479/","фото")</f>
        <v>фото</v>
      </c>
      <c r="H1504" s="22"/>
    </row>
    <row r="1505" spans="1:8" ht="15" x14ac:dyDescent="0.2">
      <c r="A1505" s="18">
        <v>2000000020990</v>
      </c>
      <c r="B1505" s="19" t="s">
        <v>3048</v>
      </c>
      <c r="C1505" s="20" t="s">
        <v>3049</v>
      </c>
      <c r="D1505" s="2">
        <v>1.7</v>
      </c>
      <c r="E1505" s="21"/>
      <c r="F1505" s="2">
        <f t="shared" si="32"/>
        <v>0</v>
      </c>
      <c r="G1505" s="3" t="str">
        <f>HYPERLINK("http://tmmp-catalog.com.ua/katalog/26/14480/","фото")</f>
        <v>фото</v>
      </c>
      <c r="H1505" s="22"/>
    </row>
    <row r="1506" spans="1:8" ht="15" x14ac:dyDescent="0.2">
      <c r="A1506" s="18">
        <v>2000000021003</v>
      </c>
      <c r="B1506" s="19" t="s">
        <v>3050</v>
      </c>
      <c r="C1506" s="20" t="s">
        <v>3051</v>
      </c>
      <c r="D1506" s="2">
        <v>1.8</v>
      </c>
      <c r="E1506" s="21"/>
      <c r="F1506" s="2">
        <f t="shared" si="32"/>
        <v>0</v>
      </c>
      <c r="G1506" s="3" t="str">
        <f>HYPERLINK("http://tmmp-catalog.com.ua/katalog/26/14481/","фото")</f>
        <v>фото</v>
      </c>
      <c r="H1506" s="22"/>
    </row>
    <row r="1507" spans="1:8" ht="15" x14ac:dyDescent="0.2">
      <c r="A1507" s="18">
        <v>2000000021010</v>
      </c>
      <c r="B1507" s="19" t="s">
        <v>3052</v>
      </c>
      <c r="C1507" s="20" t="s">
        <v>3053</v>
      </c>
      <c r="D1507" s="2">
        <v>2</v>
      </c>
      <c r="E1507" s="21"/>
      <c r="F1507" s="2">
        <f t="shared" si="32"/>
        <v>0</v>
      </c>
      <c r="G1507" s="3" t="str">
        <f>HYPERLINK("http://tmmp-catalog.com.ua/katalog/26/14482/","фото")</f>
        <v>фото</v>
      </c>
      <c r="H1507" s="22"/>
    </row>
    <row r="1508" spans="1:8" ht="15" x14ac:dyDescent="0.2">
      <c r="A1508" s="18">
        <v>2000000021027</v>
      </c>
      <c r="B1508" s="19" t="s">
        <v>3054</v>
      </c>
      <c r="C1508" s="20" t="s">
        <v>3055</v>
      </c>
      <c r="D1508" s="2">
        <v>2</v>
      </c>
      <c r="E1508" s="21"/>
      <c r="F1508" s="2">
        <f t="shared" si="32"/>
        <v>0</v>
      </c>
      <c r="G1508" s="3" t="str">
        <f>HYPERLINK("http://tmmp-catalog.com.ua/katalog/26/14483/","фото")</f>
        <v>фото</v>
      </c>
      <c r="H1508" s="22"/>
    </row>
    <row r="1509" spans="1:8" ht="15" x14ac:dyDescent="0.2">
      <c r="A1509" s="18">
        <v>2000000021034</v>
      </c>
      <c r="B1509" s="19" t="s">
        <v>3056</v>
      </c>
      <c r="C1509" s="20" t="s">
        <v>3057</v>
      </c>
      <c r="D1509" s="2">
        <v>2</v>
      </c>
      <c r="E1509" s="21"/>
      <c r="F1509" s="2">
        <f t="shared" si="32"/>
        <v>0</v>
      </c>
      <c r="G1509" s="3" t="str">
        <f>HYPERLINK("http://tmmp-catalog.com.ua/katalog/26/14484/","фото")</f>
        <v>фото</v>
      </c>
      <c r="H1509" s="22"/>
    </row>
    <row r="1510" spans="1:8" ht="15" x14ac:dyDescent="0.2">
      <c r="A1510" s="18">
        <v>2000000021041</v>
      </c>
      <c r="B1510" s="19" t="s">
        <v>3058</v>
      </c>
      <c r="C1510" s="20" t="s">
        <v>3059</v>
      </c>
      <c r="D1510" s="2">
        <v>2</v>
      </c>
      <c r="E1510" s="21"/>
      <c r="F1510" s="2">
        <f t="shared" si="32"/>
        <v>0</v>
      </c>
      <c r="G1510" s="3" t="str">
        <f>HYPERLINK("http://tmmp-catalog.com.ua/katalog/26/14485/","фото")</f>
        <v>фото</v>
      </c>
      <c r="H1510" s="22"/>
    </row>
    <row r="1511" spans="1:8" ht="15" x14ac:dyDescent="0.2">
      <c r="A1511" s="18">
        <v>2000000021058</v>
      </c>
      <c r="B1511" s="19" t="s">
        <v>3060</v>
      </c>
      <c r="C1511" s="20" t="s">
        <v>3061</v>
      </c>
      <c r="D1511" s="2">
        <v>2</v>
      </c>
      <c r="E1511" s="21"/>
      <c r="F1511" s="2">
        <f t="shared" si="32"/>
        <v>0</v>
      </c>
      <c r="G1511" s="3" t="str">
        <f>HYPERLINK("http://tmmp-catalog.com.ua/katalog/26/14486/","фото")</f>
        <v>фото</v>
      </c>
      <c r="H1511" s="22"/>
    </row>
    <row r="1512" spans="1:8" ht="15" x14ac:dyDescent="0.2">
      <c r="A1512" s="18">
        <v>2000000021065</v>
      </c>
      <c r="B1512" s="19" t="s">
        <v>3062</v>
      </c>
      <c r="C1512" s="20" t="s">
        <v>3063</v>
      </c>
      <c r="D1512" s="2">
        <v>2</v>
      </c>
      <c r="E1512" s="21"/>
      <c r="F1512" s="2">
        <f t="shared" si="32"/>
        <v>0</v>
      </c>
      <c r="G1512" s="3" t="str">
        <f>HYPERLINK("http://tmmp-catalog.com.ua/katalog/26/14487/","фото")</f>
        <v>фото</v>
      </c>
      <c r="H1512" s="22"/>
    </row>
    <row r="1513" spans="1:8" ht="15" x14ac:dyDescent="0.2">
      <c r="A1513" s="18"/>
      <c r="B1513" s="19" t="s">
        <v>3064</v>
      </c>
      <c r="C1513" s="20" t="s">
        <v>3065</v>
      </c>
      <c r="D1513" s="2">
        <v>3</v>
      </c>
      <c r="E1513" s="21"/>
      <c r="F1513" s="2">
        <f t="shared" si="32"/>
        <v>0</v>
      </c>
      <c r="G1513" s="3" t="str">
        <f>HYPERLINK("http://tmmp-catalog.com.ua/katalog/37/18792/","фото")</f>
        <v>фото</v>
      </c>
      <c r="H1513" s="22"/>
    </row>
    <row r="1514" spans="1:8" ht="15" x14ac:dyDescent="0.2">
      <c r="A1514" s="18"/>
      <c r="B1514" s="19" t="s">
        <v>3066</v>
      </c>
      <c r="C1514" s="20" t="s">
        <v>3067</v>
      </c>
      <c r="D1514" s="2">
        <v>3.7</v>
      </c>
      <c r="E1514" s="21"/>
      <c r="F1514" s="2">
        <f t="shared" si="32"/>
        <v>0</v>
      </c>
      <c r="G1514" s="3" t="str">
        <f>HYPERLINK("http://tmmp-catalog.com.ua/katalog/37/18794/","фото")</f>
        <v>фото</v>
      </c>
      <c r="H1514" s="22"/>
    </row>
    <row r="1515" spans="1:8" ht="15" x14ac:dyDescent="0.2">
      <c r="A1515" s="18"/>
      <c r="B1515" s="19" t="s">
        <v>3068</v>
      </c>
      <c r="C1515" s="20" t="s">
        <v>3069</v>
      </c>
      <c r="D1515" s="2">
        <v>2.2000000000000002</v>
      </c>
      <c r="E1515" s="21"/>
      <c r="F1515" s="2">
        <f t="shared" si="32"/>
        <v>0</v>
      </c>
      <c r="G1515" s="3" t="str">
        <f>HYPERLINK("http://tmmp-catalog.com.ua/katalog/26/17316/","фото")</f>
        <v>фото</v>
      </c>
      <c r="H1515" s="22"/>
    </row>
    <row r="1516" spans="1:8" ht="15" x14ac:dyDescent="0.2">
      <c r="A1516" s="18"/>
      <c r="B1516" s="19" t="s">
        <v>3070</v>
      </c>
      <c r="C1516" s="20" t="s">
        <v>3071</v>
      </c>
      <c r="D1516" s="2">
        <v>2.2000000000000002</v>
      </c>
      <c r="E1516" s="21"/>
      <c r="F1516" s="2">
        <f t="shared" si="32"/>
        <v>0</v>
      </c>
      <c r="G1516" s="3" t="str">
        <f>HYPERLINK("http://tmmp-catalog.com.ua/katalog/26/17318/","фото")</f>
        <v>фото</v>
      </c>
      <c r="H1516" s="22"/>
    </row>
    <row r="1517" spans="1:8" ht="15" x14ac:dyDescent="0.2">
      <c r="A1517" s="18">
        <v>2000000021096</v>
      </c>
      <c r="B1517" s="19" t="s">
        <v>3072</v>
      </c>
      <c r="C1517" s="20" t="s">
        <v>3073</v>
      </c>
      <c r="D1517" s="2">
        <v>2.2000000000000002</v>
      </c>
      <c r="E1517" s="21"/>
      <c r="F1517" s="2">
        <f t="shared" si="32"/>
        <v>0</v>
      </c>
      <c r="G1517" s="3" t="str">
        <f>HYPERLINK("http://tmmp-catalog.com.ua/katalog/26/14490/","фото")</f>
        <v>фото</v>
      </c>
      <c r="H1517" s="22"/>
    </row>
    <row r="1518" spans="1:8" ht="15" x14ac:dyDescent="0.2">
      <c r="A1518" s="18">
        <v>2000000021102</v>
      </c>
      <c r="B1518" s="19" t="s">
        <v>3074</v>
      </c>
      <c r="C1518" s="20" t="s">
        <v>3075</v>
      </c>
      <c r="D1518" s="2">
        <v>2</v>
      </c>
      <c r="E1518" s="21"/>
      <c r="F1518" s="2">
        <f t="shared" si="32"/>
        <v>0</v>
      </c>
      <c r="G1518" s="3" t="str">
        <f>HYPERLINK("http://tmmp-catalog.com.ua/katalog/26/14491/","фото")</f>
        <v>фото</v>
      </c>
      <c r="H1518" s="22"/>
    </row>
    <row r="1519" spans="1:8" ht="15" x14ac:dyDescent="0.2">
      <c r="A1519" s="18">
        <v>2000000021119</v>
      </c>
      <c r="B1519" s="19" t="s">
        <v>3076</v>
      </c>
      <c r="C1519" s="20" t="s">
        <v>3077</v>
      </c>
      <c r="D1519" s="2">
        <v>2</v>
      </c>
      <c r="E1519" s="21"/>
      <c r="F1519" s="2">
        <f t="shared" si="32"/>
        <v>0</v>
      </c>
      <c r="G1519" s="3" t="str">
        <f>HYPERLINK("http://tmmp-catalog.com.ua/katalog/26/14492/","фото")</f>
        <v>фото</v>
      </c>
      <c r="H1519" s="22"/>
    </row>
    <row r="1520" spans="1:8" ht="15" x14ac:dyDescent="0.2">
      <c r="A1520" s="18">
        <v>2000000021126</v>
      </c>
      <c r="B1520" s="19" t="s">
        <v>3078</v>
      </c>
      <c r="C1520" s="20" t="s">
        <v>3079</v>
      </c>
      <c r="D1520" s="2">
        <v>2</v>
      </c>
      <c r="E1520" s="21"/>
      <c r="F1520" s="2">
        <f t="shared" si="32"/>
        <v>0</v>
      </c>
      <c r="G1520" s="3" t="str">
        <f>HYPERLINK("http://tmmp-catalog.com.ua/katalog/26/14493/","фото")</f>
        <v>фото</v>
      </c>
      <c r="H1520" s="22"/>
    </row>
    <row r="1521" spans="1:8" ht="15" x14ac:dyDescent="0.2">
      <c r="A1521" s="18">
        <v>2000000021133</v>
      </c>
      <c r="B1521" s="19" t="s">
        <v>3080</v>
      </c>
      <c r="C1521" s="20" t="s">
        <v>3081</v>
      </c>
      <c r="D1521" s="2">
        <v>2</v>
      </c>
      <c r="E1521" s="21"/>
      <c r="F1521" s="2">
        <f t="shared" si="32"/>
        <v>0</v>
      </c>
      <c r="G1521" s="3" t="str">
        <f>HYPERLINK("http://tmmp-catalog.com.ua/katalog/26/14494/","фото")</f>
        <v>фото</v>
      </c>
      <c r="H1521" s="22"/>
    </row>
    <row r="1522" spans="1:8" ht="15" x14ac:dyDescent="0.2">
      <c r="A1522" s="18"/>
      <c r="B1522" s="19" t="s">
        <v>3082</v>
      </c>
      <c r="C1522" s="20" t="s">
        <v>3083</v>
      </c>
      <c r="D1522" s="2">
        <v>2</v>
      </c>
      <c r="E1522" s="21"/>
      <c r="F1522" s="2">
        <f t="shared" si="32"/>
        <v>0</v>
      </c>
      <c r="G1522" s="3" t="str">
        <f>HYPERLINK("http://tmmp-catalog.com.ua/katalog/37/18443/","фото")</f>
        <v>фото</v>
      </c>
      <c r="H1522" s="22"/>
    </row>
    <row r="1523" spans="1:8" ht="15" x14ac:dyDescent="0.2">
      <c r="A1523" s="18">
        <v>2000000021140</v>
      </c>
      <c r="B1523" s="19" t="s">
        <v>3084</v>
      </c>
      <c r="C1523" s="20" t="s">
        <v>3085</v>
      </c>
      <c r="D1523" s="2">
        <v>2</v>
      </c>
      <c r="E1523" s="21"/>
      <c r="F1523" s="2">
        <f t="shared" si="32"/>
        <v>0</v>
      </c>
      <c r="G1523" s="3" t="str">
        <f>HYPERLINK("http://tmmp-catalog.com.ua/katalog/26/14495/","фото")</f>
        <v>фото</v>
      </c>
      <c r="H1523" s="22"/>
    </row>
    <row r="1524" spans="1:8" ht="15" x14ac:dyDescent="0.2">
      <c r="A1524" s="18"/>
      <c r="B1524" s="19" t="s">
        <v>3086</v>
      </c>
      <c r="C1524" s="20" t="s">
        <v>3087</v>
      </c>
      <c r="D1524" s="2">
        <v>2.5</v>
      </c>
      <c r="E1524" s="21"/>
      <c r="F1524" s="2">
        <f t="shared" si="32"/>
        <v>0</v>
      </c>
      <c r="G1524" s="3" t="str">
        <f>HYPERLINK("http://tmmp-catalog.com.ua/katalog/28/17328/","фото")</f>
        <v>фото</v>
      </c>
      <c r="H1524" s="22"/>
    </row>
    <row r="1525" spans="1:8" ht="15" x14ac:dyDescent="0.2">
      <c r="A1525" s="18"/>
      <c r="B1525" s="19" t="s">
        <v>3088</v>
      </c>
      <c r="C1525" s="20" t="s">
        <v>3089</v>
      </c>
      <c r="D1525" s="2">
        <v>2</v>
      </c>
      <c r="E1525" s="21"/>
      <c r="F1525" s="2">
        <f t="shared" si="32"/>
        <v>0</v>
      </c>
      <c r="G1525" s="3" t="str">
        <f>HYPERLINK("http://tmmp-catalog.com.ua/katalog/28/17329/","фото")</f>
        <v>фото</v>
      </c>
      <c r="H1525" s="22"/>
    </row>
    <row r="1526" spans="1:8" ht="15" x14ac:dyDescent="0.2">
      <c r="A1526" s="18">
        <v>2000000023151</v>
      </c>
      <c r="B1526" s="19" t="s">
        <v>3090</v>
      </c>
      <c r="C1526" s="20" t="s">
        <v>3091</v>
      </c>
      <c r="D1526" s="2">
        <v>2.5</v>
      </c>
      <c r="E1526" s="21"/>
      <c r="F1526" s="2">
        <f t="shared" si="32"/>
        <v>0</v>
      </c>
      <c r="G1526" s="3" t="str">
        <f>HYPERLINK("http://tmmp-catalog.com.ua/katalog/28/15164/","фото")</f>
        <v>фото</v>
      </c>
      <c r="H1526" s="22"/>
    </row>
    <row r="1527" spans="1:8" ht="15" x14ac:dyDescent="0.2">
      <c r="A1527" s="18"/>
      <c r="B1527" s="19" t="s">
        <v>3092</v>
      </c>
      <c r="C1527" s="20" t="s">
        <v>3093</v>
      </c>
      <c r="D1527" s="2">
        <v>3.7</v>
      </c>
      <c r="E1527" s="21"/>
      <c r="F1527" s="2">
        <f t="shared" si="32"/>
        <v>0</v>
      </c>
      <c r="G1527" s="3" t="str">
        <f>HYPERLINK("http://tmmp-catalog.com.ua/katalog/37/18795/","фото")</f>
        <v>фото</v>
      </c>
      <c r="H1527" s="22"/>
    </row>
    <row r="1528" spans="1:8" ht="15" x14ac:dyDescent="0.2">
      <c r="A1528" s="18"/>
      <c r="B1528" s="19" t="s">
        <v>3094</v>
      </c>
      <c r="C1528" s="20" t="s">
        <v>3095</v>
      </c>
      <c r="D1528" s="2">
        <v>2</v>
      </c>
      <c r="E1528" s="21"/>
      <c r="F1528" s="2">
        <f t="shared" si="32"/>
        <v>0</v>
      </c>
      <c r="G1528" s="3" t="str">
        <f>HYPERLINK("http://tmmp-catalog.com.ua/katalog/37/18795/","фото")</f>
        <v>фото</v>
      </c>
      <c r="H1528" s="22"/>
    </row>
    <row r="1529" spans="1:8" ht="15" x14ac:dyDescent="0.2">
      <c r="A1529" s="18"/>
      <c r="B1529" s="19" t="s">
        <v>3096</v>
      </c>
      <c r="C1529" s="20" t="s">
        <v>3097</v>
      </c>
      <c r="D1529" s="2">
        <v>2.2000000000000002</v>
      </c>
      <c r="E1529" s="21"/>
      <c r="F1529" s="2">
        <f t="shared" si="32"/>
        <v>0</v>
      </c>
      <c r="G1529" s="3" t="str">
        <f>HYPERLINK("http://tmmp-catalog.com.ua/katalog/28/17330/","фото")</f>
        <v>фото</v>
      </c>
      <c r="H1529" s="22"/>
    </row>
    <row r="1530" spans="1:8" ht="15" x14ac:dyDescent="0.2">
      <c r="A1530" s="18">
        <v>2000000023007</v>
      </c>
      <c r="B1530" s="19" t="s">
        <v>3098</v>
      </c>
      <c r="C1530" s="20" t="s">
        <v>3099</v>
      </c>
      <c r="D1530" s="2">
        <v>2.2000000000000002</v>
      </c>
      <c r="E1530" s="21"/>
      <c r="F1530" s="2">
        <f t="shared" si="32"/>
        <v>0</v>
      </c>
      <c r="G1530" s="3" t="str">
        <f>HYPERLINK("http://tmmp-catalog.com.ua/katalog/28/15149/","фото")</f>
        <v>фото</v>
      </c>
      <c r="H1530" s="22"/>
    </row>
    <row r="1531" spans="1:8" ht="15" x14ac:dyDescent="0.2">
      <c r="A1531" s="18">
        <v>2000000023014</v>
      </c>
      <c r="B1531" s="19" t="s">
        <v>3100</v>
      </c>
      <c r="C1531" s="20" t="s">
        <v>3101</v>
      </c>
      <c r="D1531" s="2">
        <v>2.2000000000000002</v>
      </c>
      <c r="E1531" s="21"/>
      <c r="F1531" s="2">
        <f t="shared" si="32"/>
        <v>0</v>
      </c>
      <c r="G1531" s="3" t="str">
        <f>HYPERLINK("http://tmmp-catalog.com.ua/katalog/28/15150/","фото")</f>
        <v>фото</v>
      </c>
      <c r="H1531" s="22"/>
    </row>
    <row r="1532" spans="1:8" ht="15" x14ac:dyDescent="0.2">
      <c r="A1532" s="18">
        <v>2000000023106</v>
      </c>
      <c r="B1532" s="19" t="s">
        <v>3102</v>
      </c>
      <c r="C1532" s="20" t="s">
        <v>3103</v>
      </c>
      <c r="D1532" s="2">
        <v>3.7</v>
      </c>
      <c r="E1532" s="21"/>
      <c r="F1532" s="2">
        <f t="shared" si="32"/>
        <v>0</v>
      </c>
      <c r="G1532" s="3" t="str">
        <f>HYPERLINK("http://tmmp-catalog.com.ua/katalog/28/15159/","фото")</f>
        <v>фото</v>
      </c>
      <c r="H1532" s="22"/>
    </row>
    <row r="1533" spans="1:8" ht="15" x14ac:dyDescent="0.2">
      <c r="A1533" s="18"/>
      <c r="B1533" s="19" t="s">
        <v>3104</v>
      </c>
      <c r="C1533" s="20" t="s">
        <v>3105</v>
      </c>
      <c r="D1533" s="2">
        <v>2</v>
      </c>
      <c r="E1533" s="21"/>
      <c r="F1533" s="2">
        <f t="shared" si="32"/>
        <v>0</v>
      </c>
      <c r="G1533" s="3" t="str">
        <f>HYPERLINK("http://tmmp-catalog.com.ua/katalog/37/18457/","фото")</f>
        <v>фото</v>
      </c>
      <c r="H1533" s="22"/>
    </row>
    <row r="1534" spans="1:8" ht="15" x14ac:dyDescent="0.2">
      <c r="A1534" s="18">
        <v>2000000023120</v>
      </c>
      <c r="B1534" s="19" t="s">
        <v>3106</v>
      </c>
      <c r="C1534" s="20" t="s">
        <v>3107</v>
      </c>
      <c r="D1534" s="2">
        <v>2</v>
      </c>
      <c r="E1534" s="21"/>
      <c r="F1534" s="2">
        <f t="shared" si="32"/>
        <v>0</v>
      </c>
      <c r="G1534" s="3" t="str">
        <f>HYPERLINK("http://tmmp-catalog.com.ua/katalog/28/15161/","фото")</f>
        <v>фото</v>
      </c>
      <c r="H1534" s="22"/>
    </row>
    <row r="1535" spans="1:8" ht="15" x14ac:dyDescent="0.2">
      <c r="A1535" s="18">
        <v>2000000023137</v>
      </c>
      <c r="B1535" s="19" t="s">
        <v>3108</v>
      </c>
      <c r="C1535" s="20" t="s">
        <v>3109</v>
      </c>
      <c r="D1535" s="2">
        <v>2</v>
      </c>
      <c r="E1535" s="21"/>
      <c r="F1535" s="2">
        <f t="shared" si="32"/>
        <v>0</v>
      </c>
      <c r="G1535" s="3" t="str">
        <f>HYPERLINK("http://tmmp-catalog.com.ua/katalog/28/15162/","фото")</f>
        <v>фото</v>
      </c>
      <c r="H1535" s="22"/>
    </row>
    <row r="1536" spans="1:8" ht="15" x14ac:dyDescent="0.2">
      <c r="A1536" s="18">
        <v>2000000023144</v>
      </c>
      <c r="B1536" s="19" t="s">
        <v>3110</v>
      </c>
      <c r="C1536" s="20" t="s">
        <v>3111</v>
      </c>
      <c r="D1536" s="2">
        <v>2.2000000000000002</v>
      </c>
      <c r="E1536" s="21"/>
      <c r="F1536" s="2">
        <f t="shared" si="32"/>
        <v>0</v>
      </c>
      <c r="G1536" s="3" t="str">
        <f>HYPERLINK("http://tmmp-catalog.com.ua/katalog/28/15163/","фото")</f>
        <v>фото</v>
      </c>
      <c r="H1536" s="22"/>
    </row>
    <row r="1537" spans="1:8" ht="15" x14ac:dyDescent="0.2">
      <c r="A1537" s="18">
        <v>2000000023113</v>
      </c>
      <c r="B1537" s="19" t="s">
        <v>3112</v>
      </c>
      <c r="C1537" s="20" t="s">
        <v>3113</v>
      </c>
      <c r="D1537" s="2">
        <v>2</v>
      </c>
      <c r="E1537" s="21"/>
      <c r="F1537" s="2">
        <f t="shared" si="32"/>
        <v>0</v>
      </c>
      <c r="G1537" s="3" t="str">
        <f>HYPERLINK("http://tmmp-catalog.com.ua/katalog/28/15160/","фото")</f>
        <v>фото</v>
      </c>
      <c r="H1537" s="22"/>
    </row>
    <row r="1538" spans="1:8" ht="15" x14ac:dyDescent="0.2">
      <c r="A1538" s="18">
        <v>2000000023038</v>
      </c>
      <c r="B1538" s="19" t="s">
        <v>3114</v>
      </c>
      <c r="C1538" s="20" t="s">
        <v>3115</v>
      </c>
      <c r="D1538" s="2">
        <v>2</v>
      </c>
      <c r="E1538" s="21"/>
      <c r="F1538" s="2">
        <f t="shared" si="32"/>
        <v>0</v>
      </c>
      <c r="G1538" s="3" t="str">
        <f>HYPERLINK("http://tmmp-catalog.com.ua/katalog/28/15152/","фото")</f>
        <v>фото</v>
      </c>
      <c r="H1538" s="22"/>
    </row>
    <row r="1539" spans="1:8" ht="15" x14ac:dyDescent="0.2">
      <c r="A1539" s="18">
        <v>2000000023045</v>
      </c>
      <c r="B1539" s="19" t="s">
        <v>3116</v>
      </c>
      <c r="C1539" s="20" t="s">
        <v>3117</v>
      </c>
      <c r="D1539" s="2">
        <v>2</v>
      </c>
      <c r="E1539" s="21"/>
      <c r="F1539" s="2">
        <f t="shared" si="32"/>
        <v>0</v>
      </c>
      <c r="G1539" s="3" t="str">
        <f>HYPERLINK("http://tmmp-catalog.com.ua/katalog/28/15153/","фото")</f>
        <v>фото</v>
      </c>
      <c r="H1539" s="22"/>
    </row>
    <row r="1540" spans="1:8" ht="15" x14ac:dyDescent="0.2">
      <c r="A1540" s="18">
        <v>2000000023052</v>
      </c>
      <c r="B1540" s="19" t="s">
        <v>3118</v>
      </c>
      <c r="C1540" s="20" t="s">
        <v>3119</v>
      </c>
      <c r="D1540" s="2">
        <v>2</v>
      </c>
      <c r="E1540" s="21"/>
      <c r="F1540" s="2">
        <f t="shared" si="32"/>
        <v>0</v>
      </c>
      <c r="G1540" s="3" t="str">
        <f>HYPERLINK("http://tmmp-catalog.com.ua/katalog/28/15154/","фото")</f>
        <v>фото</v>
      </c>
      <c r="H1540" s="22"/>
    </row>
    <row r="1541" spans="1:8" ht="15" x14ac:dyDescent="0.2">
      <c r="A1541" s="18">
        <v>2000000023069</v>
      </c>
      <c r="B1541" s="19" t="s">
        <v>3120</v>
      </c>
      <c r="C1541" s="20" t="s">
        <v>3121</v>
      </c>
      <c r="D1541" s="2">
        <v>2</v>
      </c>
      <c r="E1541" s="21"/>
      <c r="F1541" s="2">
        <f t="shared" si="32"/>
        <v>0</v>
      </c>
      <c r="G1541" s="3" t="str">
        <f>HYPERLINK("http://tmmp-catalog.com.ua/katalog/28/15155/","фото")</f>
        <v>фото</v>
      </c>
      <c r="H1541" s="22"/>
    </row>
    <row r="1542" spans="1:8" ht="15" x14ac:dyDescent="0.2">
      <c r="A1542" s="18">
        <v>2000000023076</v>
      </c>
      <c r="B1542" s="19" t="s">
        <v>3122</v>
      </c>
      <c r="C1542" s="20" t="s">
        <v>3123</v>
      </c>
      <c r="D1542" s="2">
        <v>2</v>
      </c>
      <c r="E1542" s="21"/>
      <c r="F1542" s="2">
        <f t="shared" si="32"/>
        <v>0</v>
      </c>
      <c r="G1542" s="3" t="str">
        <f>HYPERLINK("http://tmmp-catalog.com.ua/katalog/28/15156/","фото")</f>
        <v>фото</v>
      </c>
      <c r="H1542" s="22"/>
    </row>
    <row r="1543" spans="1:8" ht="15" x14ac:dyDescent="0.2">
      <c r="A1543" s="18">
        <v>2000000023083</v>
      </c>
      <c r="B1543" s="19" t="s">
        <v>3124</v>
      </c>
      <c r="C1543" s="20" t="s">
        <v>3125</v>
      </c>
      <c r="D1543" s="2">
        <v>2</v>
      </c>
      <c r="E1543" s="21"/>
      <c r="F1543" s="2">
        <f t="shared" si="32"/>
        <v>0</v>
      </c>
      <c r="G1543" s="3" t="str">
        <f>HYPERLINK("http://tmmp-catalog.com.ua/katalog/28/15157/","фото")</f>
        <v>фото</v>
      </c>
      <c r="H1543" s="22"/>
    </row>
    <row r="1544" spans="1:8" ht="15" x14ac:dyDescent="0.2">
      <c r="A1544" s="18">
        <v>2000000023090</v>
      </c>
      <c r="B1544" s="19" t="s">
        <v>3126</v>
      </c>
      <c r="C1544" s="20" t="s">
        <v>3127</v>
      </c>
      <c r="D1544" s="2">
        <v>2</v>
      </c>
      <c r="E1544" s="21"/>
      <c r="F1544" s="2">
        <f t="shared" si="32"/>
        <v>0</v>
      </c>
      <c r="G1544" s="3" t="str">
        <f>HYPERLINK("http://tmmp-catalog.com.ua/katalog/28/15158/","фото")</f>
        <v>фото</v>
      </c>
      <c r="H1544" s="22"/>
    </row>
    <row r="1545" spans="1:8" ht="15" x14ac:dyDescent="0.2">
      <c r="A1545" s="18"/>
      <c r="B1545" s="19" t="s">
        <v>3128</v>
      </c>
      <c r="C1545" s="20" t="s">
        <v>3129</v>
      </c>
      <c r="D1545" s="2">
        <v>2</v>
      </c>
      <c r="E1545" s="21"/>
      <c r="F1545" s="2">
        <f t="shared" si="32"/>
        <v>0</v>
      </c>
      <c r="G1545" s="3" t="str">
        <f>HYPERLINK("http://tmmp-catalog.com.ua/katalog/37/18458/","фото")</f>
        <v>фото</v>
      </c>
      <c r="H1545" s="22"/>
    </row>
    <row r="1546" spans="1:8" ht="15" x14ac:dyDescent="0.2">
      <c r="A1546" s="18">
        <v>2000000023021</v>
      </c>
      <c r="B1546" s="19" t="s">
        <v>3130</v>
      </c>
      <c r="C1546" s="20" t="s">
        <v>3131</v>
      </c>
      <c r="D1546" s="2">
        <v>2</v>
      </c>
      <c r="E1546" s="21"/>
      <c r="F1546" s="2">
        <f t="shared" si="32"/>
        <v>0</v>
      </c>
      <c r="G1546" s="3" t="str">
        <f>HYPERLINK("http://tmmp-catalog.com.ua/katalog/28/15151/","фото")</f>
        <v>фото</v>
      </c>
      <c r="H1546" s="22"/>
    </row>
    <row r="1547" spans="1:8" ht="15" x14ac:dyDescent="0.2">
      <c r="A1547" s="18"/>
      <c r="B1547" s="19" t="s">
        <v>3132</v>
      </c>
      <c r="C1547" s="20" t="s">
        <v>3133</v>
      </c>
      <c r="D1547" s="2">
        <v>2.2000000000000002</v>
      </c>
      <c r="E1547" s="21"/>
      <c r="F1547" s="2">
        <f t="shared" ref="F1547:F1610" si="33">cena*zakaz</f>
        <v>0</v>
      </c>
      <c r="G1547" s="3" t="str">
        <f>HYPERLINK("http://tmmp-catalog.com.ua/katalog/28/17334/","фото")</f>
        <v>фото</v>
      </c>
      <c r="H1547" s="22"/>
    </row>
    <row r="1548" spans="1:8" ht="15" x14ac:dyDescent="0.2">
      <c r="A1548" s="18">
        <v>2000000019178</v>
      </c>
      <c r="B1548" s="19" t="s">
        <v>3134</v>
      </c>
      <c r="C1548" s="20" t="s">
        <v>3135</v>
      </c>
      <c r="D1548" s="2">
        <v>0.7</v>
      </c>
      <c r="E1548" s="21"/>
      <c r="F1548" s="2">
        <f t="shared" si="33"/>
        <v>0</v>
      </c>
      <c r="G1548" s="3" t="str">
        <f>HYPERLINK("http://tmmp-catalog.com.ua/katalog/25/13870/","фото")</f>
        <v>фото</v>
      </c>
      <c r="H1548" s="22"/>
    </row>
    <row r="1549" spans="1:8" ht="15" x14ac:dyDescent="0.2">
      <c r="A1549" s="18">
        <v>2000000020327</v>
      </c>
      <c r="B1549" s="19" t="s">
        <v>3136</v>
      </c>
      <c r="C1549" s="20" t="s">
        <v>3137</v>
      </c>
      <c r="D1549" s="2">
        <v>1.1000000000000001</v>
      </c>
      <c r="E1549" s="21"/>
      <c r="F1549" s="2">
        <f t="shared" si="33"/>
        <v>0</v>
      </c>
      <c r="G1549" s="3" t="str">
        <f>HYPERLINK("http://tmmp-catalog.com.ua/katalog/25/16925/","фото")</f>
        <v>фото</v>
      </c>
      <c r="H1549" s="22"/>
    </row>
    <row r="1550" spans="1:8" ht="15" x14ac:dyDescent="0.2">
      <c r="A1550" s="18">
        <v>2000000019185</v>
      </c>
      <c r="B1550" s="19" t="s">
        <v>3138</v>
      </c>
      <c r="C1550" s="20" t="s">
        <v>3139</v>
      </c>
      <c r="D1550" s="2">
        <v>0.9</v>
      </c>
      <c r="E1550" s="21"/>
      <c r="F1550" s="2">
        <f t="shared" si="33"/>
        <v>0</v>
      </c>
      <c r="G1550" s="3" t="str">
        <f>HYPERLINK("http://tmmp-catalog.com.ua/katalog/25/13871/","фото")</f>
        <v>фото</v>
      </c>
      <c r="H1550" s="22"/>
    </row>
    <row r="1551" spans="1:8" ht="15" x14ac:dyDescent="0.2">
      <c r="A1551" s="18"/>
      <c r="B1551" s="19" t="s">
        <v>3140</v>
      </c>
      <c r="C1551" s="20" t="s">
        <v>3141</v>
      </c>
      <c r="D1551" s="2">
        <v>0.9</v>
      </c>
      <c r="E1551" s="21"/>
      <c r="F1551" s="2">
        <f t="shared" si="33"/>
        <v>0</v>
      </c>
      <c r="G1551" s="3" t="str">
        <f>HYPERLINK("http://tmmp-catalog.com.ua/katalog/37/18467/","фото")</f>
        <v>фото</v>
      </c>
      <c r="H1551" s="22"/>
    </row>
    <row r="1552" spans="1:8" ht="15" x14ac:dyDescent="0.2">
      <c r="A1552" s="18">
        <v>2000000021850</v>
      </c>
      <c r="B1552" s="19" t="s">
        <v>3142</v>
      </c>
      <c r="C1552" s="20" t="s">
        <v>3143</v>
      </c>
      <c r="D1552" s="2">
        <v>0.9</v>
      </c>
      <c r="E1552" s="21"/>
      <c r="F1552" s="2">
        <f t="shared" si="33"/>
        <v>0</v>
      </c>
      <c r="G1552" s="3" t="str">
        <f>HYPERLINK("http://tmmp-catalog.com.ua/katalog/26/16855/","фото")</f>
        <v>фото</v>
      </c>
      <c r="H1552" s="22"/>
    </row>
    <row r="1553" spans="1:8" ht="15" x14ac:dyDescent="0.2">
      <c r="A1553" s="18">
        <v>2000000023205</v>
      </c>
      <c r="B1553" s="19" t="s">
        <v>3144</v>
      </c>
      <c r="C1553" s="20" t="s">
        <v>3145</v>
      </c>
      <c r="D1553" s="2">
        <v>0.85</v>
      </c>
      <c r="E1553" s="21"/>
      <c r="F1553" s="2">
        <f t="shared" si="33"/>
        <v>0</v>
      </c>
      <c r="G1553" s="3" t="str">
        <f>HYPERLINK("http://tmmp-catalog.com.ua/katalog/28/15169/","фото")</f>
        <v>фото</v>
      </c>
      <c r="H1553" s="22"/>
    </row>
    <row r="1554" spans="1:8" ht="15" x14ac:dyDescent="0.2">
      <c r="A1554" s="18">
        <v>2000000023229</v>
      </c>
      <c r="B1554" s="19" t="s">
        <v>3146</v>
      </c>
      <c r="C1554" s="20" t="s">
        <v>3147</v>
      </c>
      <c r="D1554" s="2">
        <v>0.9</v>
      </c>
      <c r="E1554" s="21"/>
      <c r="F1554" s="2">
        <f t="shared" si="33"/>
        <v>0</v>
      </c>
      <c r="G1554" s="3" t="str">
        <f>HYPERLINK("http://tmmp-catalog.com.ua/katalog/28/15171/","фото")</f>
        <v>фото</v>
      </c>
      <c r="H1554" s="22"/>
    </row>
    <row r="1555" spans="1:8" ht="15" x14ac:dyDescent="0.2">
      <c r="A1555" s="18"/>
      <c r="B1555" s="19" t="s">
        <v>3148</v>
      </c>
      <c r="C1555" s="20" t="s">
        <v>3149</v>
      </c>
      <c r="D1555" s="2">
        <v>0.75</v>
      </c>
      <c r="E1555" s="21"/>
      <c r="F1555" s="2">
        <f t="shared" si="33"/>
        <v>0</v>
      </c>
      <c r="G1555" s="3" t="str">
        <f>HYPERLINK("http://tmmp-catalog.com.ua/katalog/28/18839/","фото")</f>
        <v>фото</v>
      </c>
      <c r="H1555" s="22"/>
    </row>
    <row r="1556" spans="1:8" ht="15" x14ac:dyDescent="0.2">
      <c r="A1556" s="18">
        <v>2000000019147</v>
      </c>
      <c r="B1556" s="19" t="s">
        <v>3150</v>
      </c>
      <c r="C1556" s="20" t="s">
        <v>3151</v>
      </c>
      <c r="D1556" s="2">
        <v>0.3</v>
      </c>
      <c r="E1556" s="21"/>
      <c r="F1556" s="2">
        <f t="shared" si="33"/>
        <v>0</v>
      </c>
      <c r="G1556" s="3" t="str">
        <f>HYPERLINK("http://tmmp-catalog.com.ua/katalog/25/13867/","фото")</f>
        <v>фото</v>
      </c>
      <c r="H1556" s="22"/>
    </row>
    <row r="1557" spans="1:8" ht="15" x14ac:dyDescent="0.2">
      <c r="A1557" s="18">
        <v>2000000019154</v>
      </c>
      <c r="B1557" s="19" t="s">
        <v>3152</v>
      </c>
      <c r="C1557" s="20" t="s">
        <v>3153</v>
      </c>
      <c r="D1557" s="2">
        <v>0.35</v>
      </c>
      <c r="E1557" s="21"/>
      <c r="F1557" s="2">
        <f t="shared" si="33"/>
        <v>0</v>
      </c>
      <c r="G1557" s="3" t="str">
        <f>HYPERLINK("http://tmmp-catalog.com.ua/katalog/25/13868/","фото")</f>
        <v>фото</v>
      </c>
      <c r="H1557" s="22"/>
    </row>
    <row r="1558" spans="1:8" ht="15" x14ac:dyDescent="0.2">
      <c r="A1558" s="18">
        <v>2000000019161</v>
      </c>
      <c r="B1558" s="19" t="s">
        <v>3154</v>
      </c>
      <c r="C1558" s="20" t="s">
        <v>3155</v>
      </c>
      <c r="D1558" s="2">
        <v>0.3</v>
      </c>
      <c r="E1558" s="21"/>
      <c r="F1558" s="2">
        <f t="shared" si="33"/>
        <v>0</v>
      </c>
      <c r="G1558" s="3" t="str">
        <f>HYPERLINK("http://tmmp-catalog.com.ua/katalog/25/13869/","фото")</f>
        <v>фото</v>
      </c>
      <c r="H1558" s="22"/>
    </row>
    <row r="1559" spans="1:8" ht="15" x14ac:dyDescent="0.2">
      <c r="A1559" s="18">
        <v>2000000020228</v>
      </c>
      <c r="B1559" s="19" t="s">
        <v>3156</v>
      </c>
      <c r="C1559" s="20" t="s">
        <v>3157</v>
      </c>
      <c r="D1559" s="2">
        <v>0.3</v>
      </c>
      <c r="E1559" s="21"/>
      <c r="F1559" s="2">
        <f t="shared" si="33"/>
        <v>0</v>
      </c>
      <c r="G1559" s="3" t="str">
        <f>HYPERLINK("http://tmmp-catalog.com.ua/katalog/25/16914/","фото")</f>
        <v>фото</v>
      </c>
      <c r="H1559" s="22"/>
    </row>
    <row r="1560" spans="1:8" ht="15" x14ac:dyDescent="0.2">
      <c r="A1560" s="18">
        <v>2000000021188</v>
      </c>
      <c r="B1560" s="19" t="s">
        <v>3158</v>
      </c>
      <c r="C1560" s="20" t="s">
        <v>3159</v>
      </c>
      <c r="D1560" s="2">
        <v>0.3</v>
      </c>
      <c r="E1560" s="21"/>
      <c r="F1560" s="2">
        <f t="shared" si="33"/>
        <v>0</v>
      </c>
      <c r="G1560" s="3" t="str">
        <f>HYPERLINK("http://tmmp-catalog.com.ua/katalog/26/14499/","фото")</f>
        <v>фото</v>
      </c>
      <c r="H1560" s="22"/>
    </row>
    <row r="1561" spans="1:8" ht="15" x14ac:dyDescent="0.2">
      <c r="A1561" s="18">
        <v>2000000021843</v>
      </c>
      <c r="B1561" s="19" t="s">
        <v>3160</v>
      </c>
      <c r="C1561" s="20" t="s">
        <v>3161</v>
      </c>
      <c r="D1561" s="2">
        <v>0.3</v>
      </c>
      <c r="E1561" s="21"/>
      <c r="F1561" s="2">
        <f t="shared" si="33"/>
        <v>0</v>
      </c>
      <c r="G1561" s="3" t="str">
        <f>HYPERLINK("http://tmmp-catalog.com.ua/katalog/26/16854/","фото")</f>
        <v>фото</v>
      </c>
      <c r="H1561" s="22"/>
    </row>
    <row r="1562" spans="1:8" ht="15" x14ac:dyDescent="0.2">
      <c r="A1562" s="18">
        <v>2000000023175</v>
      </c>
      <c r="B1562" s="19" t="s">
        <v>3162</v>
      </c>
      <c r="C1562" s="20" t="s">
        <v>3163</v>
      </c>
      <c r="D1562" s="2">
        <v>0.25</v>
      </c>
      <c r="E1562" s="21"/>
      <c r="F1562" s="2">
        <f t="shared" si="33"/>
        <v>0</v>
      </c>
      <c r="G1562" s="3" t="str">
        <f>HYPERLINK("http://tmmp-catalog.com.ua/katalog/28/15166/","фото")</f>
        <v>фото</v>
      </c>
      <c r="H1562" s="22"/>
    </row>
    <row r="1563" spans="1:8" ht="15" x14ac:dyDescent="0.2">
      <c r="A1563" s="18">
        <v>2000000023748</v>
      </c>
      <c r="B1563" s="19" t="s">
        <v>3164</v>
      </c>
      <c r="C1563" s="20" t="s">
        <v>3165</v>
      </c>
      <c r="D1563" s="2">
        <v>0.4</v>
      </c>
      <c r="E1563" s="21"/>
      <c r="F1563" s="2">
        <f t="shared" si="33"/>
        <v>0</v>
      </c>
      <c r="G1563" s="3" t="str">
        <f>HYPERLINK("http://tmmp-catalog.com.ua/katalog/28/16754/","фото")</f>
        <v>фото</v>
      </c>
      <c r="H1563" s="22"/>
    </row>
    <row r="1564" spans="1:8" ht="15" x14ac:dyDescent="0.2">
      <c r="A1564" s="18">
        <v>2000000023199</v>
      </c>
      <c r="B1564" s="19" t="s">
        <v>3166</v>
      </c>
      <c r="C1564" s="20" t="s">
        <v>3167</v>
      </c>
      <c r="D1564" s="2">
        <v>0.3</v>
      </c>
      <c r="E1564" s="21"/>
      <c r="F1564" s="2">
        <f t="shared" si="33"/>
        <v>0</v>
      </c>
      <c r="G1564" s="3" t="str">
        <f>HYPERLINK("http://tmmp-catalog.com.ua/katalog/28/15168/","фото")</f>
        <v>фото</v>
      </c>
      <c r="H1564" s="22"/>
    </row>
    <row r="1565" spans="1:8" ht="15" x14ac:dyDescent="0.2">
      <c r="A1565" s="18"/>
      <c r="B1565" s="19" t="s">
        <v>3168</v>
      </c>
      <c r="C1565" s="20" t="s">
        <v>3169</v>
      </c>
      <c r="D1565" s="2">
        <v>0.3</v>
      </c>
      <c r="E1565" s="21"/>
      <c r="F1565" s="2">
        <f t="shared" si="33"/>
        <v>0</v>
      </c>
      <c r="G1565" s="3" t="str">
        <f>HYPERLINK("http://tmmp-catalog.com.ua/katalog/37/18477/","фото")</f>
        <v>фото</v>
      </c>
      <c r="H1565" s="22"/>
    </row>
    <row r="1566" spans="1:8" ht="15" x14ac:dyDescent="0.2">
      <c r="A1566" s="18">
        <v>2000000021218</v>
      </c>
      <c r="B1566" s="19" t="s">
        <v>3170</v>
      </c>
      <c r="C1566" s="20" t="s">
        <v>3171</v>
      </c>
      <c r="D1566" s="2">
        <v>1</v>
      </c>
      <c r="E1566" s="21"/>
      <c r="F1566" s="2">
        <f t="shared" si="33"/>
        <v>0</v>
      </c>
      <c r="G1566" s="3" t="str">
        <f>HYPERLINK("http://tmmp-catalog.com.ua/katalog/26/14502/","фото")</f>
        <v>фото</v>
      </c>
      <c r="H1566" s="22"/>
    </row>
    <row r="1567" spans="1:8" ht="15" x14ac:dyDescent="0.2">
      <c r="A1567" s="18">
        <v>2000000019215</v>
      </c>
      <c r="B1567" s="19" t="s">
        <v>3172</v>
      </c>
      <c r="C1567" s="20" t="s">
        <v>3173</v>
      </c>
      <c r="D1567" s="2">
        <v>1.2</v>
      </c>
      <c r="E1567" s="21"/>
      <c r="F1567" s="2">
        <f t="shared" si="33"/>
        <v>0</v>
      </c>
      <c r="G1567" s="3" t="str">
        <f>HYPERLINK("http://tmmp-catalog.com.ua/katalog/25/13875/","фото")</f>
        <v>фото</v>
      </c>
      <c r="H1567" s="22"/>
    </row>
    <row r="1568" spans="1:8" ht="15" x14ac:dyDescent="0.2">
      <c r="A1568" s="18">
        <v>2000000023243</v>
      </c>
      <c r="B1568" s="19" t="s">
        <v>3174</v>
      </c>
      <c r="C1568" s="20" t="s">
        <v>3175</v>
      </c>
      <c r="D1568" s="2">
        <v>1</v>
      </c>
      <c r="E1568" s="21"/>
      <c r="F1568" s="2">
        <f t="shared" si="33"/>
        <v>0</v>
      </c>
      <c r="G1568" s="3" t="str">
        <f>HYPERLINK("http://tmmp-catalog.com.ua/katalog/28/15173/","фото")</f>
        <v>фото</v>
      </c>
      <c r="H1568" s="22"/>
    </row>
    <row r="1569" spans="1:8" ht="15" x14ac:dyDescent="0.2">
      <c r="A1569" s="18">
        <v>2000000021225</v>
      </c>
      <c r="B1569" s="19" t="s">
        <v>3176</v>
      </c>
      <c r="C1569" s="20" t="s">
        <v>3177</v>
      </c>
      <c r="D1569" s="2">
        <v>1.7</v>
      </c>
      <c r="E1569" s="21"/>
      <c r="F1569" s="2">
        <f t="shared" si="33"/>
        <v>0</v>
      </c>
      <c r="G1569" s="3" t="str">
        <f>HYPERLINK("http://tmmp-catalog.com.ua/katalog/26/14503/","фото")</f>
        <v>фото</v>
      </c>
      <c r="H1569" s="22"/>
    </row>
    <row r="1570" spans="1:8" ht="15" x14ac:dyDescent="0.2">
      <c r="A1570" s="18">
        <v>2000000023267</v>
      </c>
      <c r="B1570" s="19" t="s">
        <v>3178</v>
      </c>
      <c r="C1570" s="20" t="s">
        <v>3179</v>
      </c>
      <c r="D1570" s="2">
        <v>1.25</v>
      </c>
      <c r="E1570" s="21"/>
      <c r="F1570" s="2">
        <f t="shared" si="33"/>
        <v>0</v>
      </c>
      <c r="G1570" s="3" t="str">
        <f>HYPERLINK("http://tmmp-catalog.com.ua/katalog/28/15175/","фото")</f>
        <v>фото</v>
      </c>
      <c r="H1570" s="22"/>
    </row>
    <row r="1571" spans="1:8" ht="15" x14ac:dyDescent="0.2">
      <c r="A1571" s="18">
        <v>2000000019222</v>
      </c>
      <c r="B1571" s="19" t="s">
        <v>3180</v>
      </c>
      <c r="C1571" s="20" t="s">
        <v>3181</v>
      </c>
      <c r="D1571" s="2">
        <v>5.5</v>
      </c>
      <c r="E1571" s="21"/>
      <c r="F1571" s="2">
        <f t="shared" si="33"/>
        <v>0</v>
      </c>
      <c r="G1571" s="3" t="str">
        <f>HYPERLINK("http://tmmp-catalog.com.ua/katalog/25/13876/","фото")</f>
        <v>фото</v>
      </c>
      <c r="H1571" s="22"/>
    </row>
    <row r="1572" spans="1:8" ht="15" x14ac:dyDescent="0.2">
      <c r="A1572" s="18">
        <v>2000000019987</v>
      </c>
      <c r="B1572" s="19" t="s">
        <v>3182</v>
      </c>
      <c r="C1572" s="20" t="s">
        <v>3183</v>
      </c>
      <c r="D1572" s="2">
        <v>2</v>
      </c>
      <c r="E1572" s="21"/>
      <c r="F1572" s="2">
        <f t="shared" si="33"/>
        <v>0</v>
      </c>
      <c r="G1572" s="3" t="str">
        <f>HYPERLINK("http://tmmp-catalog.com.ua/katalog/25/16502/","фото")</f>
        <v>фото</v>
      </c>
      <c r="H1572" s="22"/>
    </row>
    <row r="1573" spans="1:8" ht="15" x14ac:dyDescent="0.2">
      <c r="A1573" s="18">
        <v>2000000019239</v>
      </c>
      <c r="B1573" s="19" t="s">
        <v>3184</v>
      </c>
      <c r="C1573" s="20" t="s">
        <v>3185</v>
      </c>
      <c r="D1573" s="2">
        <v>2.4</v>
      </c>
      <c r="E1573" s="21"/>
      <c r="F1573" s="2">
        <f t="shared" si="33"/>
        <v>0</v>
      </c>
      <c r="G1573" s="3" t="str">
        <f>HYPERLINK("http://tmmp-catalog.com.ua/katalog/25/13877/","фото")</f>
        <v>фото</v>
      </c>
      <c r="H1573" s="22"/>
    </row>
    <row r="1574" spans="1:8" ht="15" x14ac:dyDescent="0.2">
      <c r="A1574" s="18">
        <v>2000000021232</v>
      </c>
      <c r="B1574" s="19" t="s">
        <v>3186</v>
      </c>
      <c r="C1574" s="20" t="s">
        <v>3187</v>
      </c>
      <c r="D1574" s="2">
        <v>2</v>
      </c>
      <c r="E1574" s="21"/>
      <c r="F1574" s="2">
        <f t="shared" si="33"/>
        <v>0</v>
      </c>
      <c r="G1574" s="3" t="str">
        <f>HYPERLINK("http://tmmp-catalog.com.ua/katalog/26/14504/","фото")</f>
        <v>фото</v>
      </c>
      <c r="H1574" s="22"/>
    </row>
    <row r="1575" spans="1:8" ht="15" x14ac:dyDescent="0.2">
      <c r="A1575" s="18">
        <v>2000000023274</v>
      </c>
      <c r="B1575" s="19" t="s">
        <v>3188</v>
      </c>
      <c r="C1575" s="20" t="s">
        <v>3189</v>
      </c>
      <c r="D1575" s="2">
        <v>1.8</v>
      </c>
      <c r="E1575" s="21"/>
      <c r="F1575" s="2">
        <f t="shared" si="33"/>
        <v>0</v>
      </c>
      <c r="G1575" s="3" t="str">
        <f>HYPERLINK("http://tmmp-catalog.com.ua/katalog/28/15176/","фото")</f>
        <v>фото</v>
      </c>
      <c r="H1575" s="22"/>
    </row>
    <row r="1576" spans="1:8" ht="15" x14ac:dyDescent="0.2">
      <c r="A1576" s="18"/>
      <c r="B1576" s="19" t="s">
        <v>3190</v>
      </c>
      <c r="C1576" s="20" t="s">
        <v>3191</v>
      </c>
      <c r="D1576" s="2">
        <v>2.6</v>
      </c>
      <c r="E1576" s="21"/>
      <c r="F1576" s="2">
        <f t="shared" si="33"/>
        <v>0</v>
      </c>
      <c r="G1576" s="3" t="str">
        <f>HYPERLINK("http://tmmp-catalog.com.ua/katalog/28/17314/","фото")</f>
        <v>фото</v>
      </c>
      <c r="H1576" s="22"/>
    </row>
    <row r="1577" spans="1:8" ht="15" x14ac:dyDescent="0.2">
      <c r="A1577" s="18">
        <v>2000000020112</v>
      </c>
      <c r="B1577" s="19" t="s">
        <v>3192</v>
      </c>
      <c r="C1577" s="20" t="s">
        <v>3193</v>
      </c>
      <c r="D1577" s="2">
        <v>3.5</v>
      </c>
      <c r="E1577" s="21"/>
      <c r="F1577" s="2">
        <f t="shared" si="33"/>
        <v>0</v>
      </c>
      <c r="G1577" s="3" t="str">
        <f>HYPERLINK("http://tmmp-catalog.com.ua/katalog/25/16903/","фото")</f>
        <v>фото</v>
      </c>
      <c r="H1577" s="22"/>
    </row>
    <row r="1578" spans="1:8" ht="15" x14ac:dyDescent="0.2">
      <c r="A1578" s="18"/>
      <c r="B1578" s="19" t="s">
        <v>3194</v>
      </c>
      <c r="C1578" s="20" t="s">
        <v>3195</v>
      </c>
      <c r="D1578" s="2">
        <v>3.1</v>
      </c>
      <c r="E1578" s="21"/>
      <c r="F1578" s="2">
        <f t="shared" si="33"/>
        <v>0</v>
      </c>
      <c r="G1578" s="3" t="str">
        <f>HYPERLINK("http://tmmp-catalog.com.ua/katalog/37/18483/","фото")</f>
        <v>фото</v>
      </c>
      <c r="H1578" s="22"/>
    </row>
    <row r="1579" spans="1:8" ht="15" x14ac:dyDescent="0.2">
      <c r="A1579" s="18">
        <v>2000000021287</v>
      </c>
      <c r="B1579" s="19" t="s">
        <v>3196</v>
      </c>
      <c r="C1579" s="20" t="s">
        <v>3197</v>
      </c>
      <c r="D1579" s="2">
        <v>2</v>
      </c>
      <c r="E1579" s="21"/>
      <c r="F1579" s="2">
        <f t="shared" si="33"/>
        <v>0</v>
      </c>
      <c r="G1579" s="3" t="str">
        <f>HYPERLINK("http://tmmp-catalog.com.ua/katalog/26/14509/","фото")</f>
        <v>фото</v>
      </c>
      <c r="H1579" s="22"/>
    </row>
    <row r="1580" spans="1:8" ht="15" x14ac:dyDescent="0.2">
      <c r="A1580" s="18">
        <v>2000000021294</v>
      </c>
      <c r="B1580" s="19" t="s">
        <v>3198</v>
      </c>
      <c r="C1580" s="20" t="s">
        <v>3199</v>
      </c>
      <c r="D1580" s="2">
        <v>3.8</v>
      </c>
      <c r="E1580" s="21"/>
      <c r="F1580" s="2">
        <f t="shared" si="33"/>
        <v>0</v>
      </c>
      <c r="G1580" s="3" t="str">
        <f>HYPERLINK("http://tmmp-catalog.com.ua/katalog/26/14510/","фото")</f>
        <v>фото</v>
      </c>
      <c r="H1580" s="22"/>
    </row>
    <row r="1581" spans="1:8" ht="15" x14ac:dyDescent="0.2">
      <c r="A1581" s="18">
        <v>2000000021256</v>
      </c>
      <c r="B1581" s="19" t="s">
        <v>3200</v>
      </c>
      <c r="C1581" s="20" t="s">
        <v>3201</v>
      </c>
      <c r="D1581" s="2">
        <v>1.7</v>
      </c>
      <c r="E1581" s="21"/>
      <c r="F1581" s="2">
        <f t="shared" si="33"/>
        <v>0</v>
      </c>
      <c r="G1581" s="3" t="str">
        <f>HYPERLINK("http://tmmp-catalog.com.ua/katalog/26/14506/","фото")</f>
        <v>фото</v>
      </c>
      <c r="H1581" s="22"/>
    </row>
    <row r="1582" spans="1:8" ht="15" x14ac:dyDescent="0.2">
      <c r="A1582" s="18">
        <v>2000000019246</v>
      </c>
      <c r="B1582" s="19" t="s">
        <v>3202</v>
      </c>
      <c r="C1582" s="20" t="s">
        <v>3203</v>
      </c>
      <c r="D1582" s="2">
        <v>3.8</v>
      </c>
      <c r="E1582" s="21"/>
      <c r="F1582" s="2">
        <f t="shared" si="33"/>
        <v>0</v>
      </c>
      <c r="G1582" s="3" t="str">
        <f>HYPERLINK("http://tmmp-catalog.com.ua/katalog/25/13878/","фото")</f>
        <v>фото</v>
      </c>
      <c r="H1582" s="22"/>
    </row>
    <row r="1583" spans="1:8" ht="15" x14ac:dyDescent="0.2">
      <c r="A1583" s="18">
        <v>2000000019260</v>
      </c>
      <c r="B1583" s="19" t="s">
        <v>3204</v>
      </c>
      <c r="C1583" s="20" t="s">
        <v>3205</v>
      </c>
      <c r="D1583" s="2">
        <v>1.5</v>
      </c>
      <c r="E1583" s="21"/>
      <c r="F1583" s="2">
        <f t="shared" si="33"/>
        <v>0</v>
      </c>
      <c r="G1583" s="3" t="str">
        <f>HYPERLINK("http://tmmp-catalog.com.ua/katalog/25/13880/","фото")</f>
        <v>фото</v>
      </c>
      <c r="H1583" s="22"/>
    </row>
    <row r="1584" spans="1:8" ht="15" x14ac:dyDescent="0.2">
      <c r="A1584" s="18">
        <v>2000000021249</v>
      </c>
      <c r="B1584" s="19" t="s">
        <v>3206</v>
      </c>
      <c r="C1584" s="20" t="s">
        <v>3207</v>
      </c>
      <c r="D1584" s="2">
        <v>1.8</v>
      </c>
      <c r="E1584" s="21"/>
      <c r="F1584" s="2">
        <f t="shared" si="33"/>
        <v>0</v>
      </c>
      <c r="G1584" s="3" t="str">
        <f>HYPERLINK("http://tmmp-catalog.com.ua/katalog/26/14505/","фото")</f>
        <v>фото</v>
      </c>
      <c r="H1584" s="22"/>
    </row>
    <row r="1585" spans="1:8" ht="15" x14ac:dyDescent="0.2">
      <c r="A1585" s="18">
        <v>2000000021270</v>
      </c>
      <c r="B1585" s="19" t="s">
        <v>3208</v>
      </c>
      <c r="C1585" s="20" t="s">
        <v>3209</v>
      </c>
      <c r="D1585" s="2">
        <v>1.8</v>
      </c>
      <c r="E1585" s="21"/>
      <c r="F1585" s="2">
        <f t="shared" si="33"/>
        <v>0</v>
      </c>
      <c r="G1585" s="3" t="str">
        <f>HYPERLINK("http://tmmp-catalog.com.ua/katalog/26/14508/","фото")</f>
        <v>фото</v>
      </c>
      <c r="H1585" s="22"/>
    </row>
    <row r="1586" spans="1:8" ht="15" x14ac:dyDescent="0.2">
      <c r="A1586" s="18">
        <v>2000000023717</v>
      </c>
      <c r="B1586" s="19" t="s">
        <v>3210</v>
      </c>
      <c r="C1586" s="20" t="s">
        <v>3211</v>
      </c>
      <c r="D1586" s="2">
        <v>1.5</v>
      </c>
      <c r="E1586" s="21"/>
      <c r="F1586" s="2">
        <f t="shared" si="33"/>
        <v>0</v>
      </c>
      <c r="G1586" s="3" t="str">
        <f>HYPERLINK("http://tmmp-catalog.com.ua/katalog/28/16750/","фото")</f>
        <v>фото</v>
      </c>
      <c r="H1586" s="22"/>
    </row>
    <row r="1587" spans="1:8" ht="15" x14ac:dyDescent="0.2">
      <c r="A1587" s="18">
        <v>2000000023281</v>
      </c>
      <c r="B1587" s="19" t="s">
        <v>3212</v>
      </c>
      <c r="C1587" s="20" t="s">
        <v>3213</v>
      </c>
      <c r="D1587" s="2">
        <v>1.8</v>
      </c>
      <c r="E1587" s="21"/>
      <c r="F1587" s="2">
        <f t="shared" si="33"/>
        <v>0</v>
      </c>
      <c r="G1587" s="3" t="str">
        <f>HYPERLINK("http://tmmp-catalog.com.ua/katalog/28/15177/","фото")</f>
        <v>фото</v>
      </c>
      <c r="H1587" s="22"/>
    </row>
    <row r="1588" spans="1:8" ht="15" x14ac:dyDescent="0.2">
      <c r="A1588" s="18">
        <v>2000000023298</v>
      </c>
      <c r="B1588" s="19" t="s">
        <v>3214</v>
      </c>
      <c r="C1588" s="20" t="s">
        <v>3215</v>
      </c>
      <c r="D1588" s="2">
        <v>4.2</v>
      </c>
      <c r="E1588" s="21"/>
      <c r="F1588" s="2">
        <f t="shared" si="33"/>
        <v>0</v>
      </c>
      <c r="G1588" s="3" t="str">
        <f>HYPERLINK("http://tmmp-catalog.com.ua/katalog/28/15178/","фото")</f>
        <v>фото</v>
      </c>
      <c r="H1588" s="22"/>
    </row>
    <row r="1589" spans="1:8" ht="15" x14ac:dyDescent="0.2">
      <c r="A1589" s="18">
        <v>2000000020129</v>
      </c>
      <c r="B1589" s="19" t="s">
        <v>3216</v>
      </c>
      <c r="C1589" s="20" t="s">
        <v>3217</v>
      </c>
      <c r="D1589" s="2">
        <v>2</v>
      </c>
      <c r="E1589" s="21"/>
      <c r="F1589" s="2">
        <f t="shared" si="33"/>
        <v>0</v>
      </c>
      <c r="G1589" s="3" t="str">
        <f>HYPERLINK("http://tmmp-catalog.com.ua/katalog/25/16904/","фото")</f>
        <v>фото</v>
      </c>
      <c r="H1589" s="22"/>
    </row>
    <row r="1590" spans="1:8" ht="15" x14ac:dyDescent="0.2">
      <c r="A1590" s="18">
        <v>2000000019291</v>
      </c>
      <c r="B1590" s="19" t="s">
        <v>3218</v>
      </c>
      <c r="C1590" s="20" t="s">
        <v>3219</v>
      </c>
      <c r="D1590" s="2">
        <v>2</v>
      </c>
      <c r="E1590" s="21"/>
      <c r="F1590" s="2">
        <f t="shared" si="33"/>
        <v>0</v>
      </c>
      <c r="G1590" s="3" t="str">
        <f>HYPERLINK("http://tmmp-catalog.com.ua/katalog/25/13883/","фото")</f>
        <v>фото</v>
      </c>
      <c r="H1590" s="22"/>
    </row>
    <row r="1591" spans="1:8" ht="15" x14ac:dyDescent="0.2">
      <c r="A1591" s="18">
        <v>2000000019277</v>
      </c>
      <c r="B1591" s="19" t="s">
        <v>3220</v>
      </c>
      <c r="C1591" s="20" t="s">
        <v>3221</v>
      </c>
      <c r="D1591" s="2">
        <v>1.1000000000000001</v>
      </c>
      <c r="E1591" s="21"/>
      <c r="F1591" s="2">
        <f t="shared" si="33"/>
        <v>0</v>
      </c>
      <c r="G1591" s="3" t="str">
        <f>HYPERLINK("http://tmmp-catalog.com.ua/katalog/25/13881/","фото")</f>
        <v>фото</v>
      </c>
      <c r="H1591" s="22"/>
    </row>
    <row r="1592" spans="1:8" ht="15" x14ac:dyDescent="0.2">
      <c r="A1592" s="18">
        <v>2000000019284</v>
      </c>
      <c r="B1592" s="19" t="s">
        <v>3222</v>
      </c>
      <c r="C1592" s="20" t="s">
        <v>3223</v>
      </c>
      <c r="D1592" s="2">
        <v>2</v>
      </c>
      <c r="E1592" s="21"/>
      <c r="F1592" s="2">
        <f t="shared" si="33"/>
        <v>0</v>
      </c>
      <c r="G1592" s="3" t="str">
        <f>HYPERLINK("http://tmmp-catalog.com.ua/katalog/25/13882/","фото")</f>
        <v>фото</v>
      </c>
      <c r="H1592" s="22"/>
    </row>
    <row r="1593" spans="1:8" ht="15" x14ac:dyDescent="0.2">
      <c r="A1593" s="18">
        <v>2000000019307</v>
      </c>
      <c r="B1593" s="19" t="s">
        <v>3224</v>
      </c>
      <c r="C1593" s="20" t="s">
        <v>3225</v>
      </c>
      <c r="D1593" s="2">
        <v>2</v>
      </c>
      <c r="E1593" s="21"/>
      <c r="F1593" s="2">
        <f t="shared" si="33"/>
        <v>0</v>
      </c>
      <c r="G1593" s="3" t="str">
        <f>HYPERLINK("http://tmmp-catalog.com.ua/katalog/25/13884/","фото")</f>
        <v>фото</v>
      </c>
      <c r="H1593" s="22"/>
    </row>
    <row r="1594" spans="1:8" ht="15" x14ac:dyDescent="0.2">
      <c r="A1594" s="18">
        <v>2000000021300</v>
      </c>
      <c r="B1594" s="19" t="s">
        <v>3226</v>
      </c>
      <c r="C1594" s="20" t="s">
        <v>3227</v>
      </c>
      <c r="D1594" s="2">
        <v>1</v>
      </c>
      <c r="E1594" s="21"/>
      <c r="F1594" s="2">
        <f t="shared" si="33"/>
        <v>0</v>
      </c>
      <c r="G1594" s="3" t="str">
        <f>HYPERLINK("http://tmmp-catalog.com.ua/katalog/26/14511/","фото")</f>
        <v>фото</v>
      </c>
      <c r="H1594" s="22"/>
    </row>
    <row r="1595" spans="1:8" ht="15" x14ac:dyDescent="0.2">
      <c r="A1595" s="18"/>
      <c r="B1595" s="19" t="s">
        <v>3228</v>
      </c>
      <c r="C1595" s="20" t="s">
        <v>3229</v>
      </c>
      <c r="D1595" s="2">
        <v>1</v>
      </c>
      <c r="E1595" s="21"/>
      <c r="F1595" s="2">
        <f t="shared" si="33"/>
        <v>0</v>
      </c>
      <c r="G1595" s="3" t="str">
        <f>HYPERLINK("http://tmmp-catalog.com.ua/katalog/37/18491/","фото")</f>
        <v>фото</v>
      </c>
      <c r="H1595" s="22"/>
    </row>
    <row r="1596" spans="1:8" ht="15" x14ac:dyDescent="0.2">
      <c r="A1596" s="18">
        <v>2000000023304</v>
      </c>
      <c r="B1596" s="19" t="s">
        <v>3230</v>
      </c>
      <c r="C1596" s="20" t="s">
        <v>3231</v>
      </c>
      <c r="D1596" s="2">
        <v>2</v>
      </c>
      <c r="E1596" s="21"/>
      <c r="F1596" s="2">
        <f t="shared" si="33"/>
        <v>0</v>
      </c>
      <c r="G1596" s="3" t="str">
        <f>HYPERLINK("http://tmmp-catalog.com.ua/katalog/28/15179/","фото")</f>
        <v>фото</v>
      </c>
      <c r="H1596" s="22"/>
    </row>
    <row r="1597" spans="1:8" ht="15" x14ac:dyDescent="0.2">
      <c r="A1597" s="18">
        <v>2000000021317</v>
      </c>
      <c r="B1597" s="19" t="s">
        <v>3232</v>
      </c>
      <c r="C1597" s="20" t="s">
        <v>3233</v>
      </c>
      <c r="D1597" s="2">
        <v>0.5</v>
      </c>
      <c r="E1597" s="21"/>
      <c r="F1597" s="2">
        <f t="shared" si="33"/>
        <v>0</v>
      </c>
      <c r="G1597" s="3" t="str">
        <f>HYPERLINK("http://tmmp-catalog.com.ua/katalog/26/14512/","фото")</f>
        <v>фото</v>
      </c>
      <c r="H1597" s="22"/>
    </row>
    <row r="1598" spans="1:8" ht="15" x14ac:dyDescent="0.2">
      <c r="A1598" s="18">
        <v>2000000020280</v>
      </c>
      <c r="B1598" s="19" t="s">
        <v>3234</v>
      </c>
      <c r="C1598" s="20" t="s">
        <v>3235</v>
      </c>
      <c r="D1598" s="2">
        <v>1.25</v>
      </c>
      <c r="E1598" s="21"/>
      <c r="F1598" s="2">
        <f t="shared" si="33"/>
        <v>0</v>
      </c>
      <c r="G1598" s="3" t="str">
        <f>HYPERLINK("http://tmmp-catalog.com.ua/katalog/25/16921/","фото")</f>
        <v>фото</v>
      </c>
      <c r="H1598" s="22"/>
    </row>
    <row r="1599" spans="1:8" ht="15" x14ac:dyDescent="0.2">
      <c r="A1599" s="18">
        <v>2000000020037</v>
      </c>
      <c r="B1599" s="19" t="s">
        <v>3236</v>
      </c>
      <c r="C1599" s="20" t="s">
        <v>3237</v>
      </c>
      <c r="D1599" s="2">
        <v>1</v>
      </c>
      <c r="E1599" s="21"/>
      <c r="F1599" s="2">
        <f t="shared" si="33"/>
        <v>0</v>
      </c>
      <c r="G1599" s="3" t="str">
        <f>HYPERLINK("http://tmmp-catalog.com.ua/katalog/25/16592/","фото")</f>
        <v>фото</v>
      </c>
      <c r="H1599" s="22"/>
    </row>
    <row r="1600" spans="1:8" ht="15" x14ac:dyDescent="0.2">
      <c r="A1600" s="18">
        <v>2000000020297</v>
      </c>
      <c r="B1600" s="19" t="s">
        <v>3238</v>
      </c>
      <c r="C1600" s="20" t="s">
        <v>3239</v>
      </c>
      <c r="D1600" s="2">
        <v>1.5</v>
      </c>
      <c r="E1600" s="21"/>
      <c r="F1600" s="2">
        <f t="shared" si="33"/>
        <v>0</v>
      </c>
      <c r="G1600" s="3" t="str">
        <f>HYPERLINK("http://tmmp-catalog.com.ua/katalog/25/16922/","фото")</f>
        <v>фото</v>
      </c>
      <c r="H1600" s="22"/>
    </row>
    <row r="1601" spans="1:8" ht="15" x14ac:dyDescent="0.2">
      <c r="A1601" s="18">
        <v>2000000020136</v>
      </c>
      <c r="B1601" s="19" t="s">
        <v>3240</v>
      </c>
      <c r="C1601" s="20" t="s">
        <v>3241</v>
      </c>
      <c r="D1601" s="2">
        <v>1</v>
      </c>
      <c r="E1601" s="21"/>
      <c r="F1601" s="2">
        <f t="shared" si="33"/>
        <v>0</v>
      </c>
      <c r="G1601" s="3" t="str">
        <f>HYPERLINK("http://tmmp-catalog.com.ua/katalog/25/16905/","фото")</f>
        <v>фото</v>
      </c>
      <c r="H1601" s="22"/>
    </row>
    <row r="1602" spans="1:8" ht="15" x14ac:dyDescent="0.2">
      <c r="A1602" s="18">
        <v>2000000021904</v>
      </c>
      <c r="B1602" s="19" t="s">
        <v>3242</v>
      </c>
      <c r="C1602" s="20" t="s">
        <v>3243</v>
      </c>
      <c r="D1602" s="2">
        <v>1.4</v>
      </c>
      <c r="E1602" s="21"/>
      <c r="F1602" s="2">
        <f t="shared" si="33"/>
        <v>0</v>
      </c>
      <c r="G1602" s="3" t="str">
        <f>HYPERLINK("http://tmmp-catalog.com.ua/katalog/26/16860/","фото")</f>
        <v>фото</v>
      </c>
      <c r="H1602" s="22"/>
    </row>
    <row r="1603" spans="1:8" ht="15" x14ac:dyDescent="0.2">
      <c r="A1603" s="18">
        <v>2000000023335</v>
      </c>
      <c r="B1603" s="19" t="s">
        <v>3244</v>
      </c>
      <c r="C1603" s="20" t="s">
        <v>3245</v>
      </c>
      <c r="D1603" s="2">
        <v>1</v>
      </c>
      <c r="E1603" s="21"/>
      <c r="F1603" s="2">
        <f t="shared" si="33"/>
        <v>0</v>
      </c>
      <c r="G1603" s="3" t="str">
        <f>HYPERLINK("http://tmmp-catalog.com.ua/katalog/28/15182/","фото")</f>
        <v>фото</v>
      </c>
      <c r="H1603" s="22"/>
    </row>
    <row r="1604" spans="1:8" ht="15" x14ac:dyDescent="0.2">
      <c r="A1604" s="18">
        <v>2000000023724</v>
      </c>
      <c r="B1604" s="19" t="s">
        <v>3246</v>
      </c>
      <c r="C1604" s="20" t="s">
        <v>3247</v>
      </c>
      <c r="D1604" s="2">
        <v>1.25</v>
      </c>
      <c r="E1604" s="21"/>
      <c r="F1604" s="2">
        <f t="shared" si="33"/>
        <v>0</v>
      </c>
      <c r="G1604" s="3" t="str">
        <f>HYPERLINK("http://tmmp-catalog.com.ua/katalog/28/16751/","фото")</f>
        <v>фото</v>
      </c>
      <c r="H1604" s="22"/>
    </row>
    <row r="1605" spans="1:8" ht="15" x14ac:dyDescent="0.2">
      <c r="A1605" s="18">
        <v>2000000021836</v>
      </c>
      <c r="B1605" s="19" t="s">
        <v>3248</v>
      </c>
      <c r="C1605" s="20" t="s">
        <v>3249</v>
      </c>
      <c r="D1605" s="2">
        <v>0.8</v>
      </c>
      <c r="E1605" s="21"/>
      <c r="F1605" s="2">
        <f t="shared" si="33"/>
        <v>0</v>
      </c>
      <c r="G1605" s="3" t="str">
        <f>HYPERLINK("http://tmmp-catalog.com.ua/katalog/26/16853/","фото")</f>
        <v>фото</v>
      </c>
      <c r="H1605" s="22"/>
    </row>
    <row r="1606" spans="1:8" ht="15" x14ac:dyDescent="0.2">
      <c r="A1606" s="18"/>
      <c r="B1606" s="19" t="s">
        <v>3250</v>
      </c>
      <c r="C1606" s="20" t="s">
        <v>3251</v>
      </c>
      <c r="D1606" s="2">
        <v>1</v>
      </c>
      <c r="E1606" s="21"/>
      <c r="F1606" s="2">
        <f t="shared" si="33"/>
        <v>0</v>
      </c>
      <c r="G1606" s="3" t="str">
        <f>HYPERLINK("http://tmmp-catalog.com.ua/katalog/37/18569/","фото")</f>
        <v>фото</v>
      </c>
      <c r="H1606" s="22"/>
    </row>
    <row r="1607" spans="1:8" ht="15" x14ac:dyDescent="0.2">
      <c r="A1607" s="18">
        <v>2000000023342</v>
      </c>
      <c r="B1607" s="19" t="s">
        <v>3252</v>
      </c>
      <c r="C1607" s="20" t="s">
        <v>3253</v>
      </c>
      <c r="D1607" s="2">
        <v>1</v>
      </c>
      <c r="E1607" s="21"/>
      <c r="F1607" s="2">
        <f t="shared" si="33"/>
        <v>0</v>
      </c>
      <c r="G1607" s="3" t="str">
        <f>HYPERLINK("http://tmmp-catalog.com.ua/katalog/28/15183/","фото")</f>
        <v>фото</v>
      </c>
      <c r="H1607" s="22"/>
    </row>
    <row r="1608" spans="1:8" ht="15" x14ac:dyDescent="0.2">
      <c r="A1608" s="18"/>
      <c r="B1608" s="19" t="s">
        <v>3254</v>
      </c>
      <c r="C1608" s="20" t="s">
        <v>3255</v>
      </c>
      <c r="D1608" s="2">
        <v>1.35</v>
      </c>
      <c r="E1608" s="21"/>
      <c r="F1608" s="2">
        <f t="shared" si="33"/>
        <v>0</v>
      </c>
      <c r="G1608" s="3" t="str">
        <f>HYPERLINK("http://tmmp-catalog.com.ua/katalog/37/18509/","фото")</f>
        <v>фото</v>
      </c>
      <c r="H1608" s="22"/>
    </row>
    <row r="1609" spans="1:8" ht="15" x14ac:dyDescent="0.2">
      <c r="A1609" s="18">
        <v>2000000021331</v>
      </c>
      <c r="B1609" s="19" t="s">
        <v>3256</v>
      </c>
      <c r="C1609" s="20" t="s">
        <v>3257</v>
      </c>
      <c r="D1609" s="2">
        <v>1.1000000000000001</v>
      </c>
      <c r="E1609" s="21"/>
      <c r="F1609" s="2">
        <f t="shared" si="33"/>
        <v>0</v>
      </c>
      <c r="G1609" s="3" t="str">
        <f>HYPERLINK("http://tmmp-catalog.com.ua/katalog/26/14514/","фото")</f>
        <v>фото</v>
      </c>
      <c r="H1609" s="22"/>
    </row>
    <row r="1610" spans="1:8" ht="15" x14ac:dyDescent="0.2">
      <c r="A1610" s="18">
        <v>2000000023359</v>
      </c>
      <c r="B1610" s="19" t="s">
        <v>3258</v>
      </c>
      <c r="C1610" s="20" t="s">
        <v>3259</v>
      </c>
      <c r="D1610" s="2">
        <v>1.6</v>
      </c>
      <c r="E1610" s="21"/>
      <c r="F1610" s="2">
        <f t="shared" si="33"/>
        <v>0</v>
      </c>
      <c r="G1610" s="3" t="str">
        <f>HYPERLINK("http://tmmp-catalog.com.ua/katalog/28/15184/","фото")</f>
        <v>фото</v>
      </c>
      <c r="H1610" s="22"/>
    </row>
    <row r="1611" spans="1:8" ht="15" x14ac:dyDescent="0.2">
      <c r="A1611" s="18">
        <v>2000000021355</v>
      </c>
      <c r="B1611" s="19" t="s">
        <v>3260</v>
      </c>
      <c r="C1611" s="20" t="s">
        <v>3261</v>
      </c>
      <c r="D1611" s="2">
        <v>0.2</v>
      </c>
      <c r="E1611" s="21"/>
      <c r="F1611" s="2">
        <f t="shared" ref="F1611:F1674" si="34">cena*zakaz</f>
        <v>0</v>
      </c>
      <c r="G1611" s="3" t="str">
        <f>HYPERLINK("http://tmmp-catalog.com.ua/katalog/26/14516/","фото")</f>
        <v>фото</v>
      </c>
      <c r="H1611" s="22"/>
    </row>
    <row r="1612" spans="1:8" ht="15" x14ac:dyDescent="0.2">
      <c r="A1612" s="18">
        <v>2000000021362</v>
      </c>
      <c r="B1612" s="19" t="s">
        <v>3262</v>
      </c>
      <c r="C1612" s="20" t="s">
        <v>3263</v>
      </c>
      <c r="D1612" s="2">
        <v>0.25</v>
      </c>
      <c r="E1612" s="21"/>
      <c r="F1612" s="2">
        <f t="shared" si="34"/>
        <v>0</v>
      </c>
      <c r="G1612" s="3" t="str">
        <f>HYPERLINK("http://tmmp-catalog.com.ua/katalog/26/14517/","фото")</f>
        <v>фото</v>
      </c>
      <c r="H1612" s="22"/>
    </row>
    <row r="1613" spans="1:8" ht="15" x14ac:dyDescent="0.2">
      <c r="A1613" s="18">
        <v>2000000019413</v>
      </c>
      <c r="B1613" s="19" t="s">
        <v>3264</v>
      </c>
      <c r="C1613" s="20" t="s">
        <v>3265</v>
      </c>
      <c r="D1613" s="2">
        <v>10.5</v>
      </c>
      <c r="E1613" s="21"/>
      <c r="F1613" s="2">
        <f t="shared" si="34"/>
        <v>0</v>
      </c>
      <c r="G1613" s="3" t="str">
        <f>HYPERLINK("http://tmmp-catalog.com.ua/katalog/25/13895/","фото")</f>
        <v>фото</v>
      </c>
      <c r="H1613" s="22"/>
    </row>
    <row r="1614" spans="1:8" ht="15" x14ac:dyDescent="0.2">
      <c r="A1614" s="18">
        <v>2000000019390</v>
      </c>
      <c r="B1614" s="19" t="s">
        <v>3266</v>
      </c>
      <c r="C1614" s="20" t="s">
        <v>3267</v>
      </c>
      <c r="D1614" s="2">
        <v>13.8</v>
      </c>
      <c r="E1614" s="21"/>
      <c r="F1614" s="2">
        <f t="shared" si="34"/>
        <v>0</v>
      </c>
      <c r="G1614" s="3" t="str">
        <f>HYPERLINK("http://tmmp-catalog.com.ua/katalog/25/13893/","фото")</f>
        <v>фото</v>
      </c>
      <c r="H1614" s="22"/>
    </row>
    <row r="1615" spans="1:8" ht="15" x14ac:dyDescent="0.2">
      <c r="A1615" s="18">
        <v>1004452300103</v>
      </c>
      <c r="B1615" s="19" t="s">
        <v>3268</v>
      </c>
      <c r="C1615" s="20" t="s">
        <v>3269</v>
      </c>
      <c r="D1615" s="2">
        <v>8</v>
      </c>
      <c r="E1615" s="21"/>
      <c r="F1615" s="2">
        <f t="shared" si="34"/>
        <v>0</v>
      </c>
      <c r="G1615" s="3" t="str">
        <f>HYPERLINK("http://tmmp-catalog.com.ua/katalog/25/13894/","фото")</f>
        <v>фото</v>
      </c>
      <c r="H1615" s="22"/>
    </row>
    <row r="1616" spans="1:8" ht="15" x14ac:dyDescent="0.2">
      <c r="A1616" s="18">
        <v>2000000020143</v>
      </c>
      <c r="B1616" s="19" t="s">
        <v>3270</v>
      </c>
      <c r="C1616" s="20" t="s">
        <v>3271</v>
      </c>
      <c r="D1616" s="2">
        <v>6.5</v>
      </c>
      <c r="E1616" s="21"/>
      <c r="F1616" s="2">
        <f t="shared" si="34"/>
        <v>0</v>
      </c>
      <c r="G1616" s="3" t="str">
        <f>HYPERLINK("http://tmmp-catalog.com.ua/katalog/25/16906/","фото")</f>
        <v>фото</v>
      </c>
      <c r="H1616" s="22"/>
    </row>
    <row r="1617" spans="1:8" ht="15" x14ac:dyDescent="0.2">
      <c r="A1617" s="18">
        <v>2000000021935</v>
      </c>
      <c r="B1617" s="19" t="s">
        <v>3272</v>
      </c>
      <c r="C1617" s="20" t="s">
        <v>3273</v>
      </c>
      <c r="D1617" s="2">
        <v>15.5</v>
      </c>
      <c r="E1617" s="21"/>
      <c r="F1617" s="2">
        <f t="shared" si="34"/>
        <v>0</v>
      </c>
      <c r="G1617" s="3" t="str">
        <f>HYPERLINK("http://tmmp-catalog.com.ua/katalog/26/16863/","фото")</f>
        <v>фото</v>
      </c>
      <c r="H1617" s="22"/>
    </row>
    <row r="1618" spans="1:8" ht="15" x14ac:dyDescent="0.2">
      <c r="A1618" s="18">
        <v>2000000021379</v>
      </c>
      <c r="B1618" s="19" t="s">
        <v>3274</v>
      </c>
      <c r="C1618" s="20" t="s">
        <v>3275</v>
      </c>
      <c r="D1618" s="2">
        <v>6.5</v>
      </c>
      <c r="E1618" s="21"/>
      <c r="F1618" s="2">
        <f t="shared" si="34"/>
        <v>0</v>
      </c>
      <c r="G1618" s="3" t="str">
        <f>HYPERLINK("http://tmmp-catalog.com.ua/katalog/26/14519/","фото")</f>
        <v>фото</v>
      </c>
      <c r="H1618" s="22"/>
    </row>
    <row r="1619" spans="1:8" ht="15" x14ac:dyDescent="0.2">
      <c r="A1619" s="18">
        <v>2000000023397</v>
      </c>
      <c r="B1619" s="19" t="s">
        <v>3276</v>
      </c>
      <c r="C1619" s="20" t="s">
        <v>3277</v>
      </c>
      <c r="D1619" s="2">
        <v>7.5</v>
      </c>
      <c r="E1619" s="21"/>
      <c r="F1619" s="2">
        <f t="shared" si="34"/>
        <v>0</v>
      </c>
      <c r="G1619" s="3" t="str">
        <f>HYPERLINK("http://tmmp-catalog.com.ua/katalog/28/15190/","фото")</f>
        <v>фото</v>
      </c>
      <c r="H1619" s="22"/>
    </row>
    <row r="1620" spans="1:8" ht="15" x14ac:dyDescent="0.2">
      <c r="A1620" s="18">
        <v>2000000019642</v>
      </c>
      <c r="B1620" s="19" t="s">
        <v>3278</v>
      </c>
      <c r="C1620" s="20" t="s">
        <v>3279</v>
      </c>
      <c r="D1620" s="2">
        <v>8</v>
      </c>
      <c r="E1620" s="21"/>
      <c r="F1620" s="2">
        <f t="shared" si="34"/>
        <v>0</v>
      </c>
      <c r="G1620" s="3" t="str">
        <f>HYPERLINK("http://tmmp-catalog.com.ua/katalog/25/13923/","фото")</f>
        <v>фото</v>
      </c>
      <c r="H1620" s="22"/>
    </row>
    <row r="1621" spans="1:8" ht="15" x14ac:dyDescent="0.2">
      <c r="A1621" s="18">
        <v>2000000021393</v>
      </c>
      <c r="B1621" s="19" t="s">
        <v>3280</v>
      </c>
      <c r="C1621" s="20" t="s">
        <v>3281</v>
      </c>
      <c r="D1621" s="2">
        <v>1</v>
      </c>
      <c r="E1621" s="21"/>
      <c r="F1621" s="2">
        <f t="shared" si="34"/>
        <v>0</v>
      </c>
      <c r="G1621" s="3" t="str">
        <f>HYPERLINK("http://tmmp-catalog.com.ua/katalog/26/14521/","фото")</f>
        <v>фото</v>
      </c>
      <c r="H1621" s="22"/>
    </row>
    <row r="1622" spans="1:8" ht="15" x14ac:dyDescent="0.2">
      <c r="A1622" s="18">
        <v>2000000019444</v>
      </c>
      <c r="B1622" s="19" t="s">
        <v>3282</v>
      </c>
      <c r="C1622" s="20" t="s">
        <v>3283</v>
      </c>
      <c r="D1622" s="2">
        <v>3</v>
      </c>
      <c r="E1622" s="21"/>
      <c r="F1622" s="2">
        <f t="shared" si="34"/>
        <v>0</v>
      </c>
      <c r="G1622" s="3" t="str">
        <f>HYPERLINK("http://tmmp-catalog.com.ua/katalog/25/13898/","фото")</f>
        <v>фото</v>
      </c>
      <c r="H1622" s="22"/>
    </row>
    <row r="1623" spans="1:8" ht="15" x14ac:dyDescent="0.2">
      <c r="A1623" s="18">
        <v>2000000021409</v>
      </c>
      <c r="B1623" s="19" t="s">
        <v>3284</v>
      </c>
      <c r="C1623" s="20" t="s">
        <v>3285</v>
      </c>
      <c r="D1623" s="2">
        <v>3</v>
      </c>
      <c r="E1623" s="21"/>
      <c r="F1623" s="2">
        <f t="shared" si="34"/>
        <v>0</v>
      </c>
      <c r="G1623" s="3" t="str">
        <f>HYPERLINK("http://tmmp-catalog.com.ua/katalog/26/14522/","фото")</f>
        <v>фото</v>
      </c>
      <c r="H1623" s="22"/>
    </row>
    <row r="1624" spans="1:8" ht="15" x14ac:dyDescent="0.2">
      <c r="A1624" s="18">
        <v>2000000023410</v>
      </c>
      <c r="B1624" s="19" t="s">
        <v>3286</v>
      </c>
      <c r="C1624" s="20" t="s">
        <v>3287</v>
      </c>
      <c r="D1624" s="2">
        <v>3</v>
      </c>
      <c r="E1624" s="21"/>
      <c r="F1624" s="2">
        <f t="shared" si="34"/>
        <v>0</v>
      </c>
      <c r="G1624" s="3" t="str">
        <f>HYPERLINK("http://tmmp-catalog.com.ua/katalog/28/15192/","фото")</f>
        <v>фото</v>
      </c>
      <c r="H1624" s="22"/>
    </row>
    <row r="1625" spans="1:8" ht="15" x14ac:dyDescent="0.2">
      <c r="A1625" s="18"/>
      <c r="B1625" s="19" t="s">
        <v>3288</v>
      </c>
      <c r="C1625" s="20" t="s">
        <v>3289</v>
      </c>
      <c r="D1625" s="2">
        <v>18.5</v>
      </c>
      <c r="E1625" s="21"/>
      <c r="F1625" s="2">
        <f t="shared" si="34"/>
        <v>0</v>
      </c>
      <c r="G1625" s="3" t="str">
        <f>HYPERLINK("http://tmmp-catalog.com.ua/katalog/25/18899/","фото")</f>
        <v>фото</v>
      </c>
      <c r="H1625" s="22"/>
    </row>
    <row r="1626" spans="1:8" ht="15" x14ac:dyDescent="0.2">
      <c r="A1626" s="18">
        <v>2000000019451</v>
      </c>
      <c r="B1626" s="19" t="s">
        <v>3290</v>
      </c>
      <c r="C1626" s="20" t="s">
        <v>3291</v>
      </c>
      <c r="D1626" s="2">
        <v>1.85</v>
      </c>
      <c r="E1626" s="21"/>
      <c r="F1626" s="2">
        <f t="shared" si="34"/>
        <v>0</v>
      </c>
      <c r="G1626" s="3" t="str">
        <f>HYPERLINK("http://tmmp-catalog.com.ua/katalog/25/13899/","фото")</f>
        <v>фото</v>
      </c>
      <c r="H1626" s="22"/>
    </row>
    <row r="1627" spans="1:8" ht="15" x14ac:dyDescent="0.2">
      <c r="A1627" s="18">
        <v>2000000019468</v>
      </c>
      <c r="B1627" s="19" t="s">
        <v>3292</v>
      </c>
      <c r="C1627" s="20" t="s">
        <v>3293</v>
      </c>
      <c r="D1627" s="2">
        <v>2</v>
      </c>
      <c r="E1627" s="21"/>
      <c r="F1627" s="2">
        <f t="shared" si="34"/>
        <v>0</v>
      </c>
      <c r="G1627" s="3" t="str">
        <f>HYPERLINK("http://tmmp-catalog.com.ua/katalog/25/13900/","фото")</f>
        <v>фото</v>
      </c>
      <c r="H1627" s="22"/>
    </row>
    <row r="1628" spans="1:8" ht="15" x14ac:dyDescent="0.2">
      <c r="A1628" s="18">
        <v>2000000019475</v>
      </c>
      <c r="B1628" s="19" t="s">
        <v>3294</v>
      </c>
      <c r="C1628" s="20" t="s">
        <v>3295</v>
      </c>
      <c r="D1628" s="2">
        <v>2.2000000000000002</v>
      </c>
      <c r="E1628" s="21"/>
      <c r="F1628" s="2">
        <f t="shared" si="34"/>
        <v>0</v>
      </c>
      <c r="G1628" s="3" t="str">
        <f>HYPERLINK("http://tmmp-catalog.com.ua/katalog/25/13901/","фото")</f>
        <v>фото</v>
      </c>
      <c r="H1628" s="22"/>
    </row>
    <row r="1629" spans="1:8" ht="15" x14ac:dyDescent="0.2">
      <c r="A1629" s="18">
        <v>2000000019482</v>
      </c>
      <c r="B1629" s="19" t="s">
        <v>3296</v>
      </c>
      <c r="C1629" s="20" t="s">
        <v>3297</v>
      </c>
      <c r="D1629" s="2">
        <v>1.8</v>
      </c>
      <c r="E1629" s="21"/>
      <c r="F1629" s="2">
        <f t="shared" si="34"/>
        <v>0</v>
      </c>
      <c r="G1629" s="3" t="str">
        <f>HYPERLINK("http://tmmp-catalog.com.ua/katalog/25/13902/","фото")</f>
        <v>фото</v>
      </c>
      <c r="H1629" s="22"/>
    </row>
    <row r="1630" spans="1:8" ht="15" x14ac:dyDescent="0.2">
      <c r="A1630" s="18">
        <v>2000000019499</v>
      </c>
      <c r="B1630" s="19" t="s">
        <v>3298</v>
      </c>
      <c r="C1630" s="20" t="s">
        <v>3299</v>
      </c>
      <c r="D1630" s="2">
        <v>1.85</v>
      </c>
      <c r="E1630" s="21"/>
      <c r="F1630" s="2">
        <f t="shared" si="34"/>
        <v>0</v>
      </c>
      <c r="G1630" s="3" t="str">
        <f>HYPERLINK("http://tmmp-catalog.com.ua/katalog/25/13903/","фото")</f>
        <v>фото</v>
      </c>
      <c r="H1630" s="22"/>
    </row>
    <row r="1631" spans="1:8" ht="15" x14ac:dyDescent="0.2">
      <c r="A1631" s="18">
        <v>2000000021416</v>
      </c>
      <c r="B1631" s="19" t="s">
        <v>3300</v>
      </c>
      <c r="C1631" s="20" t="s">
        <v>3301</v>
      </c>
      <c r="D1631" s="2">
        <v>1.1000000000000001</v>
      </c>
      <c r="E1631" s="21"/>
      <c r="F1631" s="2">
        <f t="shared" si="34"/>
        <v>0</v>
      </c>
      <c r="G1631" s="3" t="str">
        <f>HYPERLINK("http://tmmp-catalog.com.ua/katalog/26/14523/","фото")</f>
        <v>фото</v>
      </c>
      <c r="H1631" s="22"/>
    </row>
    <row r="1632" spans="1:8" ht="15" x14ac:dyDescent="0.2">
      <c r="A1632" s="18">
        <v>2000000021423</v>
      </c>
      <c r="B1632" s="19" t="s">
        <v>3302</v>
      </c>
      <c r="C1632" s="20" t="s">
        <v>3303</v>
      </c>
      <c r="D1632" s="2">
        <v>1.1000000000000001</v>
      </c>
      <c r="E1632" s="21"/>
      <c r="F1632" s="2">
        <f t="shared" si="34"/>
        <v>0</v>
      </c>
      <c r="G1632" s="3" t="str">
        <f>HYPERLINK("http://tmmp-catalog.com.ua/katalog/26/14524/","фото")</f>
        <v>фото</v>
      </c>
      <c r="H1632" s="22"/>
    </row>
    <row r="1633" spans="1:8" ht="15" x14ac:dyDescent="0.2">
      <c r="A1633" s="18">
        <v>2000000019505</v>
      </c>
      <c r="B1633" s="19" t="s">
        <v>3304</v>
      </c>
      <c r="C1633" s="20" t="s">
        <v>3305</v>
      </c>
      <c r="D1633" s="2">
        <v>0.8</v>
      </c>
      <c r="E1633" s="21"/>
      <c r="F1633" s="2">
        <f t="shared" si="34"/>
        <v>0</v>
      </c>
      <c r="G1633" s="3" t="str">
        <f>HYPERLINK("http://tmmp-catalog.com.ua/katalog/25/13904/","фото")</f>
        <v>фото</v>
      </c>
      <c r="H1633" s="22"/>
    </row>
    <row r="1634" spans="1:8" ht="15" x14ac:dyDescent="0.2">
      <c r="A1634" s="18">
        <v>2000000023441</v>
      </c>
      <c r="B1634" s="19" t="s">
        <v>3306</v>
      </c>
      <c r="C1634" s="20" t="s">
        <v>3307</v>
      </c>
      <c r="D1634" s="2">
        <v>1.5</v>
      </c>
      <c r="E1634" s="21"/>
      <c r="F1634" s="2">
        <f t="shared" si="34"/>
        <v>0</v>
      </c>
      <c r="G1634" s="3" t="str">
        <f>HYPERLINK("http://tmmp-catalog.com.ua/katalog/28/15195/","фото")</f>
        <v>фото</v>
      </c>
      <c r="H1634" s="22"/>
    </row>
    <row r="1635" spans="1:8" ht="15" x14ac:dyDescent="0.2">
      <c r="A1635" s="18">
        <v>2000000023458</v>
      </c>
      <c r="B1635" s="19" t="s">
        <v>3308</v>
      </c>
      <c r="C1635" s="20" t="s">
        <v>3309</v>
      </c>
      <c r="D1635" s="2">
        <v>1.7</v>
      </c>
      <c r="E1635" s="21"/>
      <c r="F1635" s="2">
        <f t="shared" si="34"/>
        <v>0</v>
      </c>
      <c r="G1635" s="3" t="str">
        <f>HYPERLINK("http://tmmp-catalog.com.ua/katalog/28/15196/","фото")</f>
        <v>фото</v>
      </c>
      <c r="H1635" s="22"/>
    </row>
    <row r="1636" spans="1:8" ht="15" x14ac:dyDescent="0.2">
      <c r="A1636" s="18">
        <v>2000000020204</v>
      </c>
      <c r="B1636" s="19" t="s">
        <v>3310</v>
      </c>
      <c r="C1636" s="20" t="s">
        <v>3311</v>
      </c>
      <c r="D1636" s="2">
        <v>1.1000000000000001</v>
      </c>
      <c r="E1636" s="21"/>
      <c r="F1636" s="2">
        <f t="shared" si="34"/>
        <v>0</v>
      </c>
      <c r="G1636" s="3" t="str">
        <f>HYPERLINK("http://tmmp-catalog.com.ua/katalog/25/16912/","фото")</f>
        <v>фото</v>
      </c>
      <c r="H1636" s="22"/>
    </row>
    <row r="1637" spans="1:8" ht="15" x14ac:dyDescent="0.2">
      <c r="A1637" s="18">
        <v>2000000019512</v>
      </c>
      <c r="B1637" s="19" t="s">
        <v>3312</v>
      </c>
      <c r="C1637" s="20" t="s">
        <v>3313</v>
      </c>
      <c r="D1637" s="2">
        <v>0.7</v>
      </c>
      <c r="E1637" s="21"/>
      <c r="F1637" s="2">
        <f t="shared" si="34"/>
        <v>0</v>
      </c>
      <c r="G1637" s="3" t="str">
        <f>HYPERLINK("http://tmmp-catalog.com.ua/katalog/25/13905/","фото")</f>
        <v>фото</v>
      </c>
      <c r="H1637" s="22"/>
    </row>
    <row r="1638" spans="1:8" ht="15" x14ac:dyDescent="0.2">
      <c r="A1638" s="18">
        <v>2000000021430</v>
      </c>
      <c r="B1638" s="19" t="s">
        <v>3314</v>
      </c>
      <c r="C1638" s="20" t="s">
        <v>3315</v>
      </c>
      <c r="D1638" s="2">
        <v>0.7</v>
      </c>
      <c r="E1638" s="21"/>
      <c r="F1638" s="2">
        <f t="shared" si="34"/>
        <v>0</v>
      </c>
      <c r="G1638" s="3" t="str">
        <f>HYPERLINK("http://tmmp-catalog.com.ua/katalog/26/14525/","фото")</f>
        <v>фото</v>
      </c>
      <c r="H1638" s="22"/>
    </row>
    <row r="1639" spans="1:8" ht="15" x14ac:dyDescent="0.2">
      <c r="A1639" s="18">
        <v>2000000023465</v>
      </c>
      <c r="B1639" s="19" t="s">
        <v>3316</v>
      </c>
      <c r="C1639" s="20" t="s">
        <v>3317</v>
      </c>
      <c r="D1639" s="2">
        <v>0.7</v>
      </c>
      <c r="E1639" s="21"/>
      <c r="F1639" s="2">
        <f t="shared" si="34"/>
        <v>0</v>
      </c>
      <c r="G1639" s="3" t="str">
        <f>HYPERLINK("http://tmmp-catalog.com.ua/katalog/28/15197/","фото")</f>
        <v>фото</v>
      </c>
      <c r="H1639" s="22"/>
    </row>
    <row r="1640" spans="1:8" ht="15" x14ac:dyDescent="0.2">
      <c r="A1640" s="18">
        <v>2000000023472</v>
      </c>
      <c r="B1640" s="19" t="s">
        <v>3318</v>
      </c>
      <c r="C1640" s="20" t="s">
        <v>3319</v>
      </c>
      <c r="D1640" s="2">
        <v>0.7</v>
      </c>
      <c r="E1640" s="21"/>
      <c r="F1640" s="2">
        <f t="shared" si="34"/>
        <v>0</v>
      </c>
      <c r="G1640" s="3" t="str">
        <f>HYPERLINK("http://tmmp-catalog.com.ua/katalog/28/15198/","фото")</f>
        <v>фото</v>
      </c>
      <c r="H1640" s="22"/>
    </row>
    <row r="1641" spans="1:8" ht="15" x14ac:dyDescent="0.2">
      <c r="A1641" s="18">
        <v>2000000023489</v>
      </c>
      <c r="B1641" s="19" t="s">
        <v>3320</v>
      </c>
      <c r="C1641" s="20" t="s">
        <v>3321</v>
      </c>
      <c r="D1641" s="2">
        <v>1</v>
      </c>
      <c r="E1641" s="21"/>
      <c r="F1641" s="2">
        <f t="shared" si="34"/>
        <v>0</v>
      </c>
      <c r="G1641" s="3" t="str">
        <f>HYPERLINK("http://tmmp-catalog.com.ua/katalog/28/15199/","фото")</f>
        <v>фото</v>
      </c>
      <c r="H1641" s="22"/>
    </row>
    <row r="1642" spans="1:8" ht="15" x14ac:dyDescent="0.2">
      <c r="A1642" s="18"/>
      <c r="B1642" s="19" t="s">
        <v>3322</v>
      </c>
      <c r="C1642" s="20" t="s">
        <v>3323</v>
      </c>
      <c r="D1642" s="2">
        <v>1.1000000000000001</v>
      </c>
      <c r="E1642" s="21"/>
      <c r="F1642" s="2">
        <f t="shared" si="34"/>
        <v>0</v>
      </c>
      <c r="G1642" s="3" t="str">
        <f>HYPERLINK("http://tmmp-catalog.com.ua/katalog/37/18654/","фото")</f>
        <v>фото</v>
      </c>
      <c r="H1642" s="22"/>
    </row>
    <row r="1643" spans="1:8" ht="15" x14ac:dyDescent="0.2">
      <c r="A1643" s="18">
        <v>2000000019529</v>
      </c>
      <c r="B1643" s="19" t="s">
        <v>3324</v>
      </c>
      <c r="C1643" s="20" t="s">
        <v>3325</v>
      </c>
      <c r="D1643" s="2">
        <v>0.85</v>
      </c>
      <c r="E1643" s="21"/>
      <c r="F1643" s="2">
        <f t="shared" si="34"/>
        <v>0</v>
      </c>
      <c r="G1643" s="3" t="str">
        <f>HYPERLINK("http://tmmp-catalog.com.ua/katalog/25/13906/","фото")</f>
        <v>фото</v>
      </c>
      <c r="H1643" s="22"/>
    </row>
    <row r="1644" spans="1:8" ht="15" x14ac:dyDescent="0.2">
      <c r="A1644" s="18">
        <v>2000000019536</v>
      </c>
      <c r="B1644" s="19" t="s">
        <v>3326</v>
      </c>
      <c r="C1644" s="20" t="s">
        <v>3327</v>
      </c>
      <c r="D1644" s="2">
        <v>1</v>
      </c>
      <c r="E1644" s="21"/>
      <c r="F1644" s="2">
        <f t="shared" si="34"/>
        <v>0</v>
      </c>
      <c r="G1644" s="3" t="str">
        <f>HYPERLINK("http://tmmp-catalog.com.ua/katalog/25/13907/","фото")</f>
        <v>фото</v>
      </c>
      <c r="H1644" s="22"/>
    </row>
    <row r="1645" spans="1:8" ht="15" x14ac:dyDescent="0.2">
      <c r="A1645" s="18">
        <v>2000000019543</v>
      </c>
      <c r="B1645" s="19" t="s">
        <v>3328</v>
      </c>
      <c r="C1645" s="20" t="s">
        <v>3329</v>
      </c>
      <c r="D1645" s="2">
        <v>0.8</v>
      </c>
      <c r="E1645" s="21"/>
      <c r="F1645" s="2">
        <f t="shared" si="34"/>
        <v>0</v>
      </c>
      <c r="G1645" s="3" t="str">
        <f>HYPERLINK("http://tmmp-catalog.com.ua/katalog/25/13908/","фото")</f>
        <v>фото</v>
      </c>
      <c r="H1645" s="22"/>
    </row>
    <row r="1646" spans="1:8" ht="15" x14ac:dyDescent="0.2">
      <c r="A1646" s="18">
        <v>2000000019550</v>
      </c>
      <c r="B1646" s="19" t="s">
        <v>3330</v>
      </c>
      <c r="C1646" s="20" t="s">
        <v>3331</v>
      </c>
      <c r="D1646" s="2">
        <v>1</v>
      </c>
      <c r="E1646" s="21"/>
      <c r="F1646" s="2">
        <f t="shared" si="34"/>
        <v>0</v>
      </c>
      <c r="G1646" s="3" t="str">
        <f>HYPERLINK("http://tmmp-catalog.com.ua/katalog/25/13909/","фото")</f>
        <v>фото</v>
      </c>
      <c r="H1646" s="22"/>
    </row>
    <row r="1647" spans="1:8" ht="15" x14ac:dyDescent="0.2">
      <c r="A1647" s="18">
        <v>2000000019567</v>
      </c>
      <c r="B1647" s="19" t="s">
        <v>3332</v>
      </c>
      <c r="C1647" s="20" t="s">
        <v>3333</v>
      </c>
      <c r="D1647" s="2">
        <v>1</v>
      </c>
      <c r="E1647" s="21"/>
      <c r="F1647" s="2">
        <f t="shared" si="34"/>
        <v>0</v>
      </c>
      <c r="G1647" s="3" t="str">
        <f>HYPERLINK("http://tmmp-catalog.com.ua/katalog/25/13910/","фото")</f>
        <v>фото</v>
      </c>
      <c r="H1647" s="22"/>
    </row>
    <row r="1648" spans="1:8" ht="15" x14ac:dyDescent="0.2">
      <c r="A1648" s="18">
        <v>2000000021799</v>
      </c>
      <c r="B1648" s="19" t="s">
        <v>3334</v>
      </c>
      <c r="C1648" s="20" t="s">
        <v>3335</v>
      </c>
      <c r="D1648" s="2">
        <v>1</v>
      </c>
      <c r="E1648" s="21"/>
      <c r="F1648" s="2">
        <f t="shared" si="34"/>
        <v>0</v>
      </c>
      <c r="G1648" s="3" t="str">
        <f>HYPERLINK("http://tmmp-catalog.com.ua/katalog/26/16848/","фото")</f>
        <v>фото</v>
      </c>
      <c r="H1648" s="22"/>
    </row>
    <row r="1649" spans="1:8" ht="15" x14ac:dyDescent="0.2">
      <c r="A1649" s="18"/>
      <c r="B1649" s="19" t="s">
        <v>3336</v>
      </c>
      <c r="C1649" s="20" t="s">
        <v>3337</v>
      </c>
      <c r="D1649" s="2">
        <v>11</v>
      </c>
      <c r="E1649" s="21"/>
      <c r="F1649" s="2">
        <f t="shared" si="34"/>
        <v>0</v>
      </c>
      <c r="G1649" s="3" t="str">
        <f>HYPERLINK("http://tmmp-catalog.com.ua/katalog/37/18669/","фото")</f>
        <v>фото</v>
      </c>
      <c r="H1649" s="22"/>
    </row>
    <row r="1650" spans="1:8" ht="15" x14ac:dyDescent="0.2">
      <c r="A1650" s="18">
        <v>2000000019574</v>
      </c>
      <c r="B1650" s="19" t="s">
        <v>3338</v>
      </c>
      <c r="C1650" s="20" t="s">
        <v>3339</v>
      </c>
      <c r="D1650" s="2">
        <v>9.65</v>
      </c>
      <c r="E1650" s="21"/>
      <c r="F1650" s="2">
        <f t="shared" si="34"/>
        <v>0</v>
      </c>
      <c r="G1650" s="3" t="str">
        <f>HYPERLINK("http://tmmp-catalog.com.ua/katalog/25/13911/","фото")</f>
        <v>фото</v>
      </c>
      <c r="H1650" s="22"/>
    </row>
    <row r="1651" spans="1:8" ht="15" x14ac:dyDescent="0.2">
      <c r="A1651" s="18">
        <v>2000000021447</v>
      </c>
      <c r="B1651" s="19" t="s">
        <v>3340</v>
      </c>
      <c r="C1651" s="20" t="s">
        <v>3341</v>
      </c>
      <c r="D1651" s="2">
        <v>6.5</v>
      </c>
      <c r="E1651" s="21"/>
      <c r="F1651" s="2">
        <f t="shared" si="34"/>
        <v>0</v>
      </c>
      <c r="G1651" s="3" t="str">
        <f>HYPERLINK("http://tmmp-catalog.com.ua/katalog/26/14526/","фото")</f>
        <v>фото</v>
      </c>
      <c r="H1651" s="22"/>
    </row>
    <row r="1652" spans="1:8" ht="15" x14ac:dyDescent="0.2">
      <c r="A1652" s="18">
        <v>2000000023496</v>
      </c>
      <c r="B1652" s="19" t="s">
        <v>3342</v>
      </c>
      <c r="C1652" s="20" t="s">
        <v>3343</v>
      </c>
      <c r="D1652" s="2">
        <v>5</v>
      </c>
      <c r="E1652" s="21"/>
      <c r="F1652" s="2">
        <f t="shared" si="34"/>
        <v>0</v>
      </c>
      <c r="G1652" s="3" t="str">
        <f>HYPERLINK("http://tmmp-catalog.com.ua/katalog/28/15200/","фото")</f>
        <v>фото</v>
      </c>
      <c r="H1652" s="22"/>
    </row>
    <row r="1653" spans="1:8" ht="15" x14ac:dyDescent="0.2">
      <c r="A1653" s="18">
        <v>2000000018508</v>
      </c>
      <c r="B1653" s="19" t="s">
        <v>3344</v>
      </c>
      <c r="C1653" s="20" t="s">
        <v>3345</v>
      </c>
      <c r="D1653" s="2">
        <v>5</v>
      </c>
      <c r="E1653" s="21"/>
      <c r="F1653" s="2">
        <f t="shared" si="34"/>
        <v>0</v>
      </c>
      <c r="G1653" s="3" t="str">
        <f>HYPERLINK("http://tmmp-catalog.com.ua/katalog/25/13803/","фото")</f>
        <v>фото</v>
      </c>
      <c r="H1653" s="22"/>
    </row>
    <row r="1654" spans="1:8" ht="15" x14ac:dyDescent="0.2">
      <c r="A1654" s="18">
        <v>2000000018515</v>
      </c>
      <c r="B1654" s="19" t="s">
        <v>3346</v>
      </c>
      <c r="C1654" s="20" t="s">
        <v>3347</v>
      </c>
      <c r="D1654" s="2">
        <v>5</v>
      </c>
      <c r="E1654" s="21"/>
      <c r="F1654" s="2">
        <f t="shared" si="34"/>
        <v>0</v>
      </c>
      <c r="G1654" s="3" t="str">
        <f>HYPERLINK("http://tmmp-catalog.com.ua/katalog/25/13804/","фото")</f>
        <v>фото</v>
      </c>
      <c r="H1654" s="22"/>
    </row>
    <row r="1655" spans="1:8" ht="15" x14ac:dyDescent="0.2">
      <c r="A1655" s="18">
        <v>2000000018522</v>
      </c>
      <c r="B1655" s="19" t="s">
        <v>3348</v>
      </c>
      <c r="C1655" s="20" t="s">
        <v>3349</v>
      </c>
      <c r="D1655" s="2">
        <v>5</v>
      </c>
      <c r="E1655" s="21"/>
      <c r="F1655" s="2">
        <f t="shared" si="34"/>
        <v>0</v>
      </c>
      <c r="G1655" s="3" t="str">
        <f>HYPERLINK("http://tmmp-catalog.com.ua/katalog/25/13805/","фото")</f>
        <v>фото</v>
      </c>
      <c r="H1655" s="22"/>
    </row>
    <row r="1656" spans="1:8" ht="15" x14ac:dyDescent="0.2">
      <c r="A1656" s="18">
        <v>2000000022819</v>
      </c>
      <c r="B1656" s="19" t="s">
        <v>3350</v>
      </c>
      <c r="C1656" s="20" t="s">
        <v>3351</v>
      </c>
      <c r="D1656" s="2">
        <v>1.35</v>
      </c>
      <c r="E1656" s="21"/>
      <c r="F1656" s="2">
        <f t="shared" si="34"/>
        <v>0</v>
      </c>
      <c r="G1656" s="3" t="str">
        <f>HYPERLINK("http://tmmp-catalog.com.ua/katalog/28/15129/","фото")</f>
        <v>фото</v>
      </c>
      <c r="H1656" s="22"/>
    </row>
    <row r="1657" spans="1:8" ht="15" x14ac:dyDescent="0.2">
      <c r="A1657" s="18">
        <v>2000000022802</v>
      </c>
      <c r="B1657" s="19" t="s">
        <v>3352</v>
      </c>
      <c r="C1657" s="20" t="s">
        <v>3353</v>
      </c>
      <c r="D1657" s="2">
        <v>2.9</v>
      </c>
      <c r="E1657" s="21"/>
      <c r="F1657" s="2">
        <f t="shared" si="34"/>
        <v>0</v>
      </c>
      <c r="G1657" s="3" t="str">
        <f>HYPERLINK("http://tmmp-catalog.com.ua/katalog/28/15128/","фото")</f>
        <v>фото</v>
      </c>
      <c r="H1657" s="22"/>
    </row>
    <row r="1658" spans="1:8" ht="15" x14ac:dyDescent="0.2">
      <c r="A1658" s="18">
        <v>2000000022796</v>
      </c>
      <c r="B1658" s="19" t="s">
        <v>3354</v>
      </c>
      <c r="C1658" s="20" t="s">
        <v>3355</v>
      </c>
      <c r="D1658" s="2">
        <v>6.7</v>
      </c>
      <c r="E1658" s="21"/>
      <c r="F1658" s="2">
        <f t="shared" si="34"/>
        <v>0</v>
      </c>
      <c r="G1658" s="3" t="str">
        <f>HYPERLINK("http://tmmp-catalog.com.ua/katalog/28/15127/","фото")</f>
        <v>фото</v>
      </c>
      <c r="H1658" s="22"/>
    </row>
    <row r="1659" spans="1:8" ht="15" x14ac:dyDescent="0.2">
      <c r="A1659" s="18">
        <v>2000000023670</v>
      </c>
      <c r="B1659" s="19" t="s">
        <v>3356</v>
      </c>
      <c r="C1659" s="20" t="s">
        <v>3357</v>
      </c>
      <c r="D1659" s="2">
        <v>5.5</v>
      </c>
      <c r="E1659" s="21"/>
      <c r="F1659" s="2">
        <f t="shared" si="34"/>
        <v>0</v>
      </c>
      <c r="G1659" s="3" t="str">
        <f>HYPERLINK("http://tmmp-catalog.com.ua/katalog/28/16637/","фото")</f>
        <v>фото</v>
      </c>
      <c r="H1659" s="22"/>
    </row>
    <row r="1660" spans="1:8" ht="15" x14ac:dyDescent="0.2">
      <c r="A1660" s="18">
        <v>2000000019659</v>
      </c>
      <c r="B1660" s="19" t="s">
        <v>3358</v>
      </c>
      <c r="C1660" s="20" t="s">
        <v>3359</v>
      </c>
      <c r="D1660" s="2">
        <v>2</v>
      </c>
      <c r="E1660" s="21"/>
      <c r="F1660" s="2">
        <f t="shared" si="34"/>
        <v>0</v>
      </c>
      <c r="G1660" s="3" t="str">
        <f>HYPERLINK("http://tmmp-catalog.com.ua/katalog/25/13924/","фото")</f>
        <v>фото</v>
      </c>
      <c r="H1660" s="22"/>
    </row>
    <row r="1661" spans="1:8" ht="15" x14ac:dyDescent="0.2">
      <c r="A1661" s="18">
        <v>2000000021669</v>
      </c>
      <c r="B1661" s="19" t="s">
        <v>3360</v>
      </c>
      <c r="C1661" s="20" t="s">
        <v>3361</v>
      </c>
      <c r="D1661" s="2">
        <v>3.5</v>
      </c>
      <c r="E1661" s="21"/>
      <c r="F1661" s="2">
        <f t="shared" si="34"/>
        <v>0</v>
      </c>
      <c r="G1661" s="3" t="str">
        <f>HYPERLINK("http://tmmp-catalog.com.ua/katalog/26/14549/","фото")</f>
        <v>фото</v>
      </c>
      <c r="H1661" s="22"/>
    </row>
    <row r="1662" spans="1:8" ht="15" x14ac:dyDescent="0.2">
      <c r="A1662" s="18">
        <v>2000000019673</v>
      </c>
      <c r="B1662" s="19" t="s">
        <v>3362</v>
      </c>
      <c r="C1662" s="20" t="s">
        <v>3363</v>
      </c>
      <c r="D1662" s="2">
        <v>11.1</v>
      </c>
      <c r="E1662" s="21"/>
      <c r="F1662" s="2">
        <f t="shared" si="34"/>
        <v>0</v>
      </c>
      <c r="G1662" s="3" t="str">
        <f>HYPERLINK("http://tmmp-catalog.com.ua/katalog/25/13926/","фото")</f>
        <v>фото</v>
      </c>
      <c r="H1662" s="22"/>
    </row>
    <row r="1663" spans="1:8" ht="15" x14ac:dyDescent="0.2">
      <c r="A1663" s="18">
        <v>2000000019697</v>
      </c>
      <c r="B1663" s="19" t="s">
        <v>3364</v>
      </c>
      <c r="C1663" s="20" t="s">
        <v>3365</v>
      </c>
      <c r="D1663" s="2">
        <v>14</v>
      </c>
      <c r="E1663" s="21"/>
      <c r="F1663" s="2">
        <f t="shared" si="34"/>
        <v>0</v>
      </c>
      <c r="G1663" s="3" t="str">
        <f>HYPERLINK("http://tmmp-catalog.com.ua/katalog/25/13928/","фото")</f>
        <v>фото</v>
      </c>
      <c r="H1663" s="22"/>
    </row>
    <row r="1664" spans="1:8" ht="15" x14ac:dyDescent="0.2">
      <c r="A1664" s="18">
        <v>2000000019703</v>
      </c>
      <c r="B1664" s="19" t="s">
        <v>3366</v>
      </c>
      <c r="C1664" s="20" t="s">
        <v>3367</v>
      </c>
      <c r="D1664" s="2">
        <v>15.5</v>
      </c>
      <c r="E1664" s="21"/>
      <c r="F1664" s="2">
        <f t="shared" si="34"/>
        <v>0</v>
      </c>
      <c r="G1664" s="3" t="str">
        <f>HYPERLINK("http://tmmp-catalog.com.ua/katalog/25/13929/","фото")</f>
        <v>фото</v>
      </c>
      <c r="H1664" s="22"/>
    </row>
    <row r="1665" spans="1:8" ht="15" x14ac:dyDescent="0.2">
      <c r="A1665" s="18"/>
      <c r="B1665" s="19" t="s">
        <v>3368</v>
      </c>
      <c r="C1665" s="20" t="s">
        <v>3369</v>
      </c>
      <c r="D1665" s="2">
        <v>21</v>
      </c>
      <c r="E1665" s="21"/>
      <c r="F1665" s="2">
        <f t="shared" si="34"/>
        <v>0</v>
      </c>
      <c r="G1665" s="3" t="str">
        <f>HYPERLINK("http://tmmp-catalog.com.ua/katalog/37/18537/","фото")</f>
        <v>фото</v>
      </c>
      <c r="H1665" s="22"/>
    </row>
    <row r="1666" spans="1:8" ht="15" x14ac:dyDescent="0.2">
      <c r="A1666" s="18">
        <v>2000000019727</v>
      </c>
      <c r="B1666" s="19" t="s">
        <v>3370</v>
      </c>
      <c r="C1666" s="20" t="s">
        <v>3371</v>
      </c>
      <c r="D1666" s="2">
        <v>15</v>
      </c>
      <c r="E1666" s="21"/>
      <c r="F1666" s="2">
        <f t="shared" si="34"/>
        <v>0</v>
      </c>
      <c r="G1666" s="3" t="str">
        <f>HYPERLINK("http://tmmp-catalog.com.ua/katalog/25/13931/","фото")</f>
        <v>фото</v>
      </c>
      <c r="H1666" s="22"/>
    </row>
    <row r="1667" spans="1:8" ht="15" x14ac:dyDescent="0.2">
      <c r="A1667" s="18">
        <v>2000000019734</v>
      </c>
      <c r="B1667" s="19" t="s">
        <v>3372</v>
      </c>
      <c r="C1667" s="20" t="s">
        <v>3373</v>
      </c>
      <c r="D1667" s="2">
        <v>11.5</v>
      </c>
      <c r="E1667" s="21"/>
      <c r="F1667" s="2">
        <f t="shared" si="34"/>
        <v>0</v>
      </c>
      <c r="G1667" s="3" t="str">
        <f>HYPERLINK("http://tmmp-catalog.com.ua/katalog/25/13932/","фото")</f>
        <v>фото</v>
      </c>
      <c r="H1667" s="22"/>
    </row>
    <row r="1668" spans="1:8" ht="15" x14ac:dyDescent="0.2">
      <c r="A1668" s="18"/>
      <c r="B1668" s="19" t="s">
        <v>3374</v>
      </c>
      <c r="C1668" s="20" t="s">
        <v>3375</v>
      </c>
      <c r="D1668" s="2">
        <v>14</v>
      </c>
      <c r="E1668" s="21"/>
      <c r="F1668" s="2">
        <f t="shared" si="34"/>
        <v>0</v>
      </c>
      <c r="G1668" s="3" t="str">
        <f>HYPERLINK("http://tmmp-catalog.com.ua/katalog/25/18835/","фото")</f>
        <v>фото</v>
      </c>
      <c r="H1668" s="22"/>
    </row>
    <row r="1669" spans="1:8" ht="15" x14ac:dyDescent="0.2">
      <c r="A1669" s="18">
        <v>2000000019758</v>
      </c>
      <c r="B1669" s="19" t="s">
        <v>3376</v>
      </c>
      <c r="C1669" s="20" t="s">
        <v>3377</v>
      </c>
      <c r="D1669" s="2">
        <v>17</v>
      </c>
      <c r="E1669" s="21"/>
      <c r="F1669" s="2">
        <f t="shared" si="34"/>
        <v>0</v>
      </c>
      <c r="G1669" s="3" t="str">
        <f>HYPERLINK("http://tmmp-catalog.com.ua/katalog/25/13934/","фото")</f>
        <v>фото</v>
      </c>
      <c r="H1669" s="22"/>
    </row>
    <row r="1670" spans="1:8" ht="15" x14ac:dyDescent="0.2">
      <c r="A1670" s="18"/>
      <c r="B1670" s="19" t="s">
        <v>3378</v>
      </c>
      <c r="C1670" s="20" t="s">
        <v>3379</v>
      </c>
      <c r="D1670" s="2">
        <v>14</v>
      </c>
      <c r="E1670" s="21"/>
      <c r="F1670" s="2">
        <f t="shared" si="34"/>
        <v>0</v>
      </c>
      <c r="G1670" s="3" t="str">
        <f>HYPERLINK("http://tmmp-catalog.com.ua/katalog/25/18201/","фото")</f>
        <v>фото</v>
      </c>
      <c r="H1670" s="22"/>
    </row>
    <row r="1671" spans="1:8" ht="15" x14ac:dyDescent="0.2">
      <c r="A1671" s="18">
        <v>2000000019765</v>
      </c>
      <c r="B1671" s="19" t="s">
        <v>3380</v>
      </c>
      <c r="C1671" s="20" t="s">
        <v>3381</v>
      </c>
      <c r="D1671" s="2">
        <v>14</v>
      </c>
      <c r="E1671" s="21"/>
      <c r="F1671" s="2">
        <f t="shared" si="34"/>
        <v>0</v>
      </c>
      <c r="G1671" s="3" t="str">
        <f>HYPERLINK("http://tmmp-catalog.com.ua/katalog/25/13935/","фото")</f>
        <v>фото</v>
      </c>
      <c r="H1671" s="22"/>
    </row>
    <row r="1672" spans="1:8" ht="15" x14ac:dyDescent="0.2">
      <c r="A1672" s="18">
        <v>2000000021676</v>
      </c>
      <c r="B1672" s="19" t="s">
        <v>3382</v>
      </c>
      <c r="C1672" s="20" t="s">
        <v>3383</v>
      </c>
      <c r="D1672" s="2">
        <v>14.5</v>
      </c>
      <c r="E1672" s="21"/>
      <c r="F1672" s="2">
        <f t="shared" si="34"/>
        <v>0</v>
      </c>
      <c r="G1672" s="3" t="str">
        <f>HYPERLINK("http://tmmp-catalog.com.ua/katalog/26/14550/","фото")</f>
        <v>фото</v>
      </c>
      <c r="H1672" s="22"/>
    </row>
    <row r="1673" spans="1:8" ht="15" x14ac:dyDescent="0.2">
      <c r="A1673" s="18">
        <v>2000000021690</v>
      </c>
      <c r="B1673" s="19" t="s">
        <v>3384</v>
      </c>
      <c r="C1673" s="20" t="s">
        <v>3385</v>
      </c>
      <c r="D1673" s="2">
        <v>12</v>
      </c>
      <c r="E1673" s="21"/>
      <c r="F1673" s="2">
        <f t="shared" si="34"/>
        <v>0</v>
      </c>
      <c r="G1673" s="3" t="str">
        <f>HYPERLINK("http://tmmp-catalog.com.ua/katalog/26/14552/","фото")</f>
        <v>фото</v>
      </c>
      <c r="H1673" s="22"/>
    </row>
    <row r="1674" spans="1:8" ht="15" x14ac:dyDescent="0.2">
      <c r="A1674" s="18"/>
      <c r="B1674" s="19" t="s">
        <v>3386</v>
      </c>
      <c r="C1674" s="20" t="s">
        <v>3387</v>
      </c>
      <c r="D1674" s="2">
        <v>12</v>
      </c>
      <c r="E1674" s="21"/>
      <c r="F1674" s="2">
        <f t="shared" si="34"/>
        <v>0</v>
      </c>
      <c r="G1674" s="3" t="str">
        <f>HYPERLINK("http://tmmp-catalog.com.ua/katalog/25/18203/","фото")</f>
        <v>фото</v>
      </c>
      <c r="H1674" s="22"/>
    </row>
    <row r="1675" spans="1:8" ht="15" x14ac:dyDescent="0.2">
      <c r="A1675" s="18">
        <v>2000000021683</v>
      </c>
      <c r="B1675" s="19" t="s">
        <v>3388</v>
      </c>
      <c r="C1675" s="20" t="s">
        <v>3389</v>
      </c>
      <c r="D1675" s="2">
        <v>11</v>
      </c>
      <c r="E1675" s="21"/>
      <c r="F1675" s="2">
        <f t="shared" ref="F1675:F1712" si="35">cena*zakaz</f>
        <v>0</v>
      </c>
      <c r="G1675" s="3" t="str">
        <f>HYPERLINK("http://tmmp-catalog.com.ua/katalog/26/14551/","фото")</f>
        <v>фото</v>
      </c>
      <c r="H1675" s="22"/>
    </row>
    <row r="1676" spans="1:8" ht="15" x14ac:dyDescent="0.2">
      <c r="A1676" s="18">
        <v>2000000021706</v>
      </c>
      <c r="B1676" s="19" t="s">
        <v>3390</v>
      </c>
      <c r="C1676" s="20" t="s">
        <v>3391</v>
      </c>
      <c r="D1676" s="2">
        <v>11</v>
      </c>
      <c r="E1676" s="21"/>
      <c r="F1676" s="2">
        <f t="shared" si="35"/>
        <v>0</v>
      </c>
      <c r="G1676" s="3" t="str">
        <f>HYPERLINK("http://tmmp-catalog.com.ua/katalog/26/14553/","фото")</f>
        <v>фото</v>
      </c>
      <c r="H1676" s="22"/>
    </row>
    <row r="1677" spans="1:8" ht="15" x14ac:dyDescent="0.2">
      <c r="A1677" s="18">
        <v>2000000021713</v>
      </c>
      <c r="B1677" s="19" t="s">
        <v>3392</v>
      </c>
      <c r="C1677" s="20" t="s">
        <v>3393</v>
      </c>
      <c r="D1677" s="2">
        <v>11.5</v>
      </c>
      <c r="E1677" s="21"/>
      <c r="F1677" s="2">
        <f t="shared" si="35"/>
        <v>0</v>
      </c>
      <c r="G1677" s="3" t="str">
        <f>HYPERLINK("http://tmmp-catalog.com.ua/katalog/26/14554/","фото")</f>
        <v>фото</v>
      </c>
      <c r="H1677" s="22"/>
    </row>
    <row r="1678" spans="1:8" ht="15" x14ac:dyDescent="0.2">
      <c r="A1678" s="18">
        <v>2000000023809</v>
      </c>
      <c r="B1678" s="19" t="s">
        <v>3394</v>
      </c>
      <c r="C1678" s="20" t="s">
        <v>3395</v>
      </c>
      <c r="D1678" s="2">
        <v>11</v>
      </c>
      <c r="E1678" s="21"/>
      <c r="F1678" s="2">
        <f t="shared" si="35"/>
        <v>0</v>
      </c>
      <c r="G1678" s="3" t="str">
        <f>HYPERLINK("http://tmmp-catalog.com.ua/katalog/28/16761/","фото")</f>
        <v>фото</v>
      </c>
      <c r="H1678" s="22"/>
    </row>
    <row r="1679" spans="1:8" ht="15" x14ac:dyDescent="0.2">
      <c r="A1679" s="18"/>
      <c r="B1679" s="19" t="s">
        <v>3396</v>
      </c>
      <c r="C1679" s="20" t="s">
        <v>3397</v>
      </c>
      <c r="D1679" s="2">
        <v>14</v>
      </c>
      <c r="E1679" s="21"/>
      <c r="F1679" s="2">
        <f t="shared" si="35"/>
        <v>0</v>
      </c>
      <c r="G1679" s="3" t="str">
        <f>HYPERLINK("http://tmmp-catalog.com.ua/katalog/25/18205/","фото")</f>
        <v>фото</v>
      </c>
      <c r="H1679" s="22"/>
    </row>
    <row r="1680" spans="1:8" ht="15" x14ac:dyDescent="0.2">
      <c r="A1680" s="18">
        <v>2000000023533</v>
      </c>
      <c r="B1680" s="19" t="s">
        <v>3398</v>
      </c>
      <c r="C1680" s="20" t="s">
        <v>3399</v>
      </c>
      <c r="D1680" s="2">
        <v>15</v>
      </c>
      <c r="E1680" s="21"/>
      <c r="F1680" s="2">
        <f t="shared" si="35"/>
        <v>0</v>
      </c>
      <c r="G1680" s="3" t="str">
        <f>HYPERLINK("http://tmmp-catalog.com.ua/katalog/28/15204/","фото")</f>
        <v>фото</v>
      </c>
      <c r="H1680" s="22"/>
    </row>
    <row r="1681" spans="1:8" ht="15" x14ac:dyDescent="0.2">
      <c r="A1681" s="18">
        <v>2000000023557</v>
      </c>
      <c r="B1681" s="19" t="s">
        <v>3400</v>
      </c>
      <c r="C1681" s="20" t="s">
        <v>3401</v>
      </c>
      <c r="D1681" s="2">
        <v>14</v>
      </c>
      <c r="E1681" s="21"/>
      <c r="F1681" s="2">
        <f t="shared" si="35"/>
        <v>0</v>
      </c>
      <c r="G1681" s="3" t="str">
        <f>HYPERLINK("http://tmmp-catalog.com.ua/katalog/28/15206/","фото")</f>
        <v>фото</v>
      </c>
      <c r="H1681" s="22"/>
    </row>
    <row r="1682" spans="1:8" ht="15" x14ac:dyDescent="0.2">
      <c r="A1682" s="18">
        <v>2000000023540</v>
      </c>
      <c r="B1682" s="19" t="s">
        <v>3402</v>
      </c>
      <c r="C1682" s="20" t="s">
        <v>3403</v>
      </c>
      <c r="D1682" s="2">
        <v>11</v>
      </c>
      <c r="E1682" s="21"/>
      <c r="F1682" s="2">
        <f t="shared" si="35"/>
        <v>0</v>
      </c>
      <c r="G1682" s="3" t="str">
        <f>HYPERLINK("http://tmmp-catalog.com.ua/katalog/28/15205/","фото")</f>
        <v>фото</v>
      </c>
      <c r="H1682" s="22"/>
    </row>
    <row r="1683" spans="1:8" ht="15" x14ac:dyDescent="0.2">
      <c r="A1683" s="18">
        <v>2000000023564</v>
      </c>
      <c r="B1683" s="19" t="s">
        <v>3404</v>
      </c>
      <c r="C1683" s="20" t="s">
        <v>3405</v>
      </c>
      <c r="D1683" s="2">
        <v>11</v>
      </c>
      <c r="E1683" s="21"/>
      <c r="F1683" s="2">
        <f t="shared" si="35"/>
        <v>0</v>
      </c>
      <c r="G1683" s="3" t="str">
        <f>HYPERLINK("http://tmmp-catalog.com.ua/katalog/28/15207/","фото")</f>
        <v>фото</v>
      </c>
      <c r="H1683" s="22"/>
    </row>
    <row r="1684" spans="1:8" ht="15" x14ac:dyDescent="0.2">
      <c r="A1684" s="18">
        <v>2000000023571</v>
      </c>
      <c r="B1684" s="19" t="s">
        <v>3406</v>
      </c>
      <c r="C1684" s="20" t="s">
        <v>3407</v>
      </c>
      <c r="D1684" s="2">
        <v>12</v>
      </c>
      <c r="E1684" s="21"/>
      <c r="F1684" s="2">
        <f t="shared" si="35"/>
        <v>0</v>
      </c>
      <c r="G1684" s="3" t="str">
        <f>HYPERLINK("http://tmmp-catalog.com.ua/katalog/28/15208/","фото")</f>
        <v>фото</v>
      </c>
      <c r="H1684" s="22"/>
    </row>
    <row r="1685" spans="1:8" ht="15" x14ac:dyDescent="0.2">
      <c r="A1685" s="18">
        <v>2000000023588</v>
      </c>
      <c r="B1685" s="19" t="s">
        <v>3408</v>
      </c>
      <c r="C1685" s="20" t="s">
        <v>3409</v>
      </c>
      <c r="D1685" s="2">
        <v>12</v>
      </c>
      <c r="E1685" s="21"/>
      <c r="F1685" s="2">
        <f t="shared" si="35"/>
        <v>0</v>
      </c>
      <c r="G1685" s="3" t="str">
        <f>HYPERLINK("http://tmmp-catalog.com.ua/katalog/28/15209/","фото")</f>
        <v>фото</v>
      </c>
      <c r="H1685" s="22"/>
    </row>
    <row r="1686" spans="1:8" ht="15" x14ac:dyDescent="0.2">
      <c r="A1686" s="18">
        <v>2000000023595</v>
      </c>
      <c r="B1686" s="19" t="s">
        <v>3410</v>
      </c>
      <c r="C1686" s="20" t="s">
        <v>3411</v>
      </c>
      <c r="D1686" s="2">
        <v>11</v>
      </c>
      <c r="E1686" s="21"/>
      <c r="F1686" s="2">
        <f t="shared" si="35"/>
        <v>0</v>
      </c>
      <c r="G1686" s="3" t="str">
        <f>HYPERLINK("http://tmmp-catalog.com.ua/katalog/28/15210/","фото")</f>
        <v>фото</v>
      </c>
      <c r="H1686" s="22"/>
    </row>
    <row r="1687" spans="1:8" ht="15" x14ac:dyDescent="0.2">
      <c r="A1687" s="18">
        <v>2000000019772</v>
      </c>
      <c r="B1687" s="19" t="s">
        <v>3412</v>
      </c>
      <c r="C1687" s="20" t="s">
        <v>3413</v>
      </c>
      <c r="D1687" s="2">
        <v>3</v>
      </c>
      <c r="E1687" s="21"/>
      <c r="F1687" s="2">
        <f t="shared" si="35"/>
        <v>0</v>
      </c>
      <c r="G1687" s="3" t="str">
        <f>HYPERLINK("http://tmmp-catalog.com.ua/katalog/25/13936/","фото")</f>
        <v>фото</v>
      </c>
      <c r="H1687" s="22"/>
    </row>
    <row r="1688" spans="1:8" ht="15" x14ac:dyDescent="0.2">
      <c r="A1688" s="18">
        <v>2000000019802</v>
      </c>
      <c r="B1688" s="19" t="s">
        <v>3414</v>
      </c>
      <c r="C1688" s="20" t="s">
        <v>3415</v>
      </c>
      <c r="D1688" s="2">
        <v>1.7</v>
      </c>
      <c r="E1688" s="21"/>
      <c r="F1688" s="2">
        <f t="shared" si="35"/>
        <v>0</v>
      </c>
      <c r="G1688" s="3" t="str">
        <f>HYPERLINK("http://tmmp-catalog.com.ua/katalog/25/13939/","фото")</f>
        <v>фото</v>
      </c>
      <c r="H1688" s="22"/>
    </row>
    <row r="1689" spans="1:8" ht="15" x14ac:dyDescent="0.2">
      <c r="A1689" s="18">
        <v>2000000019819</v>
      </c>
      <c r="B1689" s="19" t="s">
        <v>3416</v>
      </c>
      <c r="C1689" s="20" t="s">
        <v>3417</v>
      </c>
      <c r="D1689" s="2">
        <v>3</v>
      </c>
      <c r="E1689" s="21"/>
      <c r="F1689" s="2">
        <f t="shared" si="35"/>
        <v>0</v>
      </c>
      <c r="G1689" s="3" t="str">
        <f>HYPERLINK("http://tmmp-catalog.com.ua/katalog/25/13940/","фото")</f>
        <v>фото</v>
      </c>
      <c r="H1689" s="22"/>
    </row>
    <row r="1690" spans="1:8" ht="15" x14ac:dyDescent="0.2">
      <c r="A1690" s="18">
        <v>2000000019826</v>
      </c>
      <c r="B1690" s="19" t="s">
        <v>3418</v>
      </c>
      <c r="C1690" s="20" t="s">
        <v>3419</v>
      </c>
      <c r="D1690" s="2">
        <v>3</v>
      </c>
      <c r="E1690" s="21"/>
      <c r="F1690" s="2">
        <f t="shared" si="35"/>
        <v>0</v>
      </c>
      <c r="G1690" s="3" t="str">
        <f>HYPERLINK("http://tmmp-catalog.com.ua/katalog/25/13941/","фото")</f>
        <v>фото</v>
      </c>
      <c r="H1690" s="22"/>
    </row>
    <row r="1691" spans="1:8" ht="15" x14ac:dyDescent="0.2">
      <c r="A1691" s="18">
        <v>2000000019857</v>
      </c>
      <c r="B1691" s="19" t="s">
        <v>3420</v>
      </c>
      <c r="C1691" s="20" t="s">
        <v>3421</v>
      </c>
      <c r="D1691" s="2">
        <v>2.8</v>
      </c>
      <c r="E1691" s="21"/>
      <c r="F1691" s="2">
        <f t="shared" si="35"/>
        <v>0</v>
      </c>
      <c r="G1691" s="3" t="str">
        <f>HYPERLINK("http://tmmp-catalog.com.ua/katalog/25/13944/","фото")</f>
        <v>фото</v>
      </c>
      <c r="H1691" s="22"/>
    </row>
    <row r="1692" spans="1:8" ht="15" x14ac:dyDescent="0.2">
      <c r="A1692" s="18">
        <v>2000000019871</v>
      </c>
      <c r="B1692" s="19" t="s">
        <v>3422</v>
      </c>
      <c r="C1692" s="20" t="s">
        <v>3423</v>
      </c>
      <c r="D1692" s="2">
        <v>3</v>
      </c>
      <c r="E1692" s="21"/>
      <c r="F1692" s="2">
        <f t="shared" si="35"/>
        <v>0</v>
      </c>
      <c r="G1692" s="3" t="str">
        <f>HYPERLINK("http://tmmp-catalog.com.ua/katalog/25/13946/","фото")</f>
        <v>фото</v>
      </c>
      <c r="H1692" s="22"/>
    </row>
    <row r="1693" spans="1:8" ht="15" x14ac:dyDescent="0.2">
      <c r="A1693" s="18">
        <v>2000000019888</v>
      </c>
      <c r="B1693" s="19" t="s">
        <v>3424</v>
      </c>
      <c r="C1693" s="20" t="s">
        <v>3425</v>
      </c>
      <c r="D1693" s="2">
        <v>3</v>
      </c>
      <c r="E1693" s="21"/>
      <c r="F1693" s="2">
        <f t="shared" si="35"/>
        <v>0</v>
      </c>
      <c r="G1693" s="3" t="str">
        <f>HYPERLINK("http://tmmp-catalog.com.ua/katalog/25/13947/","фото")</f>
        <v>фото</v>
      </c>
      <c r="H1693" s="22"/>
    </row>
    <row r="1694" spans="1:8" ht="15" x14ac:dyDescent="0.2">
      <c r="A1694" s="18"/>
      <c r="B1694" s="19" t="s">
        <v>3426</v>
      </c>
      <c r="C1694" s="20" t="s">
        <v>3427</v>
      </c>
      <c r="D1694" s="2">
        <v>3</v>
      </c>
      <c r="E1694" s="21"/>
      <c r="F1694" s="2">
        <f t="shared" si="35"/>
        <v>0</v>
      </c>
      <c r="G1694" s="3" t="str">
        <f>HYPERLINK("http://tmmp-catalog.com.ua/katalog/35/18235/","фото")</f>
        <v>фото</v>
      </c>
      <c r="H1694" s="22"/>
    </row>
    <row r="1695" spans="1:8" ht="15" x14ac:dyDescent="0.2">
      <c r="A1695" s="18"/>
      <c r="B1695" s="19" t="s">
        <v>3428</v>
      </c>
      <c r="C1695" s="20" t="s">
        <v>3429</v>
      </c>
      <c r="D1695" s="2">
        <v>3.2</v>
      </c>
      <c r="E1695" s="21"/>
      <c r="F1695" s="2">
        <f t="shared" si="35"/>
        <v>0</v>
      </c>
      <c r="G1695" s="3" t="str">
        <f>HYPERLINK("http://tmmp-catalog.com.ua/katalog/35/18234/","фото")</f>
        <v>фото</v>
      </c>
      <c r="H1695" s="22"/>
    </row>
    <row r="1696" spans="1:8" ht="15" x14ac:dyDescent="0.2">
      <c r="A1696" s="18"/>
      <c r="B1696" s="19" t="s">
        <v>3430</v>
      </c>
      <c r="C1696" s="20" t="s">
        <v>3431</v>
      </c>
      <c r="D1696" s="2">
        <v>2.2000000000000002</v>
      </c>
      <c r="E1696" s="21"/>
      <c r="F1696" s="2">
        <f t="shared" si="35"/>
        <v>0</v>
      </c>
      <c r="G1696" s="3" t="str">
        <f>HYPERLINK("http://tmmp-catalog.com.ua/katalog/35/18226/","фото")</f>
        <v>фото</v>
      </c>
      <c r="H1696" s="22"/>
    </row>
    <row r="1697" spans="1:8" ht="15" x14ac:dyDescent="0.2">
      <c r="A1697" s="18">
        <v>2000000021720</v>
      </c>
      <c r="B1697" s="19" t="s">
        <v>3432</v>
      </c>
      <c r="C1697" s="20" t="s">
        <v>3433</v>
      </c>
      <c r="D1697" s="2">
        <v>2.9</v>
      </c>
      <c r="E1697" s="21"/>
      <c r="F1697" s="2">
        <f t="shared" si="35"/>
        <v>0</v>
      </c>
      <c r="G1697" s="3" t="str">
        <f>HYPERLINK("http://tmmp-catalog.com.ua/katalog/26/14555/","фото")</f>
        <v>фото</v>
      </c>
      <c r="H1697" s="22"/>
    </row>
    <row r="1698" spans="1:8" ht="15" x14ac:dyDescent="0.2">
      <c r="A1698" s="18"/>
      <c r="B1698" s="19" t="s">
        <v>3434</v>
      </c>
      <c r="C1698" s="20" t="s">
        <v>3435</v>
      </c>
      <c r="D1698" s="2">
        <v>2.2000000000000002</v>
      </c>
      <c r="E1698" s="21"/>
      <c r="F1698" s="2">
        <f t="shared" si="35"/>
        <v>0</v>
      </c>
      <c r="G1698" s="3" t="str">
        <f>HYPERLINK("http://tmmp-catalog.com.ua/katalog/35/18227/","фото")</f>
        <v>фото</v>
      </c>
      <c r="H1698" s="22"/>
    </row>
    <row r="1699" spans="1:8" ht="15" x14ac:dyDescent="0.2">
      <c r="A1699" s="18"/>
      <c r="B1699" s="19" t="s">
        <v>3436</v>
      </c>
      <c r="C1699" s="20" t="s">
        <v>3437</v>
      </c>
      <c r="D1699" s="2">
        <v>3</v>
      </c>
      <c r="E1699" s="21"/>
      <c r="F1699" s="2">
        <f t="shared" si="35"/>
        <v>0</v>
      </c>
      <c r="G1699" s="3" t="str">
        <f>HYPERLINK("http://tmmp-catalog.com.ua/katalog/35/18233/","фото")</f>
        <v>фото</v>
      </c>
      <c r="H1699" s="22"/>
    </row>
    <row r="1700" spans="1:8" ht="15" x14ac:dyDescent="0.2">
      <c r="A1700" s="18">
        <v>2000000023649</v>
      </c>
      <c r="B1700" s="19" t="s">
        <v>3438</v>
      </c>
      <c r="C1700" s="20" t="s">
        <v>3439</v>
      </c>
      <c r="D1700" s="2">
        <v>3</v>
      </c>
      <c r="E1700" s="21"/>
      <c r="F1700" s="2">
        <f t="shared" si="35"/>
        <v>0</v>
      </c>
      <c r="G1700" s="3" t="str">
        <f>HYPERLINK("http://tmmp-catalog.com.ua/katalog/28/15215/","фото")</f>
        <v>фото</v>
      </c>
      <c r="H1700" s="22"/>
    </row>
    <row r="1701" spans="1:8" ht="15" x14ac:dyDescent="0.2">
      <c r="A1701" s="18">
        <v>2000000023618</v>
      </c>
      <c r="B1701" s="19" t="s">
        <v>3440</v>
      </c>
      <c r="C1701" s="20" t="s">
        <v>3441</v>
      </c>
      <c r="D1701" s="2">
        <v>2.2000000000000002</v>
      </c>
      <c r="E1701" s="21"/>
      <c r="F1701" s="2">
        <f t="shared" si="35"/>
        <v>0</v>
      </c>
      <c r="G1701" s="3" t="str">
        <f>HYPERLINK("http://tmmp-catalog.com.ua/katalog/28/15212/","фото")</f>
        <v>фото</v>
      </c>
      <c r="H1701" s="22"/>
    </row>
    <row r="1702" spans="1:8" ht="15" x14ac:dyDescent="0.2">
      <c r="A1702" s="18"/>
      <c r="B1702" s="19" t="s">
        <v>3442</v>
      </c>
      <c r="C1702" s="20" t="s">
        <v>3443</v>
      </c>
      <c r="D1702" s="2">
        <v>0.35</v>
      </c>
      <c r="E1702" s="21"/>
      <c r="F1702" s="2">
        <f t="shared" si="35"/>
        <v>0</v>
      </c>
      <c r="G1702" s="3" t="str">
        <f>HYPERLINK("http://tmmp-catalog.com.ua/katalog/37/18549/","фото")</f>
        <v>фото</v>
      </c>
      <c r="H1702" s="22"/>
    </row>
    <row r="1703" spans="1:8" ht="15" x14ac:dyDescent="0.2">
      <c r="A1703" s="18"/>
      <c r="B1703" s="19" t="s">
        <v>3444</v>
      </c>
      <c r="C1703" s="20" t="s">
        <v>3445</v>
      </c>
      <c r="D1703" s="2">
        <v>3.5</v>
      </c>
      <c r="E1703" s="21"/>
      <c r="F1703" s="2">
        <f t="shared" si="35"/>
        <v>0</v>
      </c>
      <c r="G1703" s="3" t="str">
        <f>HYPERLINK("http://tmmp-catalog.com.ua/katalog/37/18550/","фото")</f>
        <v>фото</v>
      </c>
      <c r="H1703" s="22"/>
    </row>
    <row r="1704" spans="1:8" ht="15" x14ac:dyDescent="0.2">
      <c r="A1704" s="18"/>
      <c r="B1704" s="19" t="s">
        <v>3446</v>
      </c>
      <c r="C1704" s="20" t="s">
        <v>3447</v>
      </c>
      <c r="D1704" s="2">
        <v>3.5</v>
      </c>
      <c r="E1704" s="21"/>
      <c r="F1704" s="2">
        <f t="shared" si="35"/>
        <v>0</v>
      </c>
      <c r="G1704" s="3" t="str">
        <f>HYPERLINK("http://tmmp-catalog.com.ua/katalog/26/17333/","фото")</f>
        <v>фото</v>
      </c>
      <c r="H1704" s="22"/>
    </row>
    <row r="1705" spans="1:8" ht="15" x14ac:dyDescent="0.2">
      <c r="A1705" s="18">
        <v>2000000023656</v>
      </c>
      <c r="B1705" s="19" t="s">
        <v>3448</v>
      </c>
      <c r="C1705" s="20" t="s">
        <v>3449</v>
      </c>
      <c r="D1705" s="2">
        <v>12</v>
      </c>
      <c r="E1705" s="21"/>
      <c r="F1705" s="2">
        <f t="shared" si="35"/>
        <v>0</v>
      </c>
      <c r="G1705" s="3" t="str">
        <f>HYPERLINK("http://tmmp-catalog.com.ua/katalog/28/15216/","фото")</f>
        <v>фото</v>
      </c>
      <c r="H1705" s="22"/>
    </row>
    <row r="1706" spans="1:8" ht="15" x14ac:dyDescent="0.2">
      <c r="A1706" s="18">
        <v>2000000019628</v>
      </c>
      <c r="B1706" s="19" t="s">
        <v>3450</v>
      </c>
      <c r="C1706" s="20" t="s">
        <v>3451</v>
      </c>
      <c r="D1706" s="2">
        <v>0.2</v>
      </c>
      <c r="E1706" s="21"/>
      <c r="F1706" s="2">
        <f t="shared" si="35"/>
        <v>0</v>
      </c>
      <c r="G1706" s="3" t="str">
        <f>HYPERLINK("http://tmmp-catalog.com.ua/katalog/25/13918/","фото")</f>
        <v>фото</v>
      </c>
      <c r="H1706" s="22"/>
    </row>
    <row r="1707" spans="1:8" ht="15" x14ac:dyDescent="0.2">
      <c r="A1707" s="18">
        <v>2000000020174</v>
      </c>
      <c r="B1707" s="19" t="s">
        <v>3452</v>
      </c>
      <c r="C1707" s="20" t="s">
        <v>3453</v>
      </c>
      <c r="D1707" s="2">
        <v>0.5</v>
      </c>
      <c r="E1707" s="21"/>
      <c r="F1707" s="2">
        <f t="shared" si="35"/>
        <v>0</v>
      </c>
      <c r="G1707" s="3" t="str">
        <f>HYPERLINK("http://tmmp-catalog.com.ua/katalog/25/16909/","фото")</f>
        <v>фото</v>
      </c>
      <c r="H1707" s="22"/>
    </row>
    <row r="1708" spans="1:8" ht="15" x14ac:dyDescent="0.2">
      <c r="A1708" s="18">
        <v>2000000020198</v>
      </c>
      <c r="B1708" s="19" t="s">
        <v>3454</v>
      </c>
      <c r="C1708" s="20" t="s">
        <v>3455</v>
      </c>
      <c r="D1708" s="2">
        <v>0.5</v>
      </c>
      <c r="E1708" s="21"/>
      <c r="F1708" s="2">
        <f t="shared" si="35"/>
        <v>0</v>
      </c>
      <c r="G1708" s="3" t="str">
        <f>HYPERLINK("http://tmmp-catalog.com.ua/katalog/25/16911/","фото")</f>
        <v>фото</v>
      </c>
      <c r="H1708" s="22"/>
    </row>
    <row r="1709" spans="1:8" ht="15" x14ac:dyDescent="0.2">
      <c r="A1709" s="18">
        <v>2000000021584</v>
      </c>
      <c r="B1709" s="19" t="s">
        <v>3456</v>
      </c>
      <c r="C1709" s="20" t="s">
        <v>3457</v>
      </c>
      <c r="D1709" s="2">
        <v>0.4</v>
      </c>
      <c r="E1709" s="21"/>
      <c r="F1709" s="2">
        <f t="shared" si="35"/>
        <v>0</v>
      </c>
      <c r="G1709" s="3" t="str">
        <f>HYPERLINK("http://tmmp-catalog.com.ua/katalog/26/14541/","фото")</f>
        <v>фото</v>
      </c>
      <c r="H1709" s="22"/>
    </row>
    <row r="1710" spans="1:8" ht="15" x14ac:dyDescent="0.2">
      <c r="A1710" s="18">
        <v>2000000021591</v>
      </c>
      <c r="B1710" s="19" t="s">
        <v>3458</v>
      </c>
      <c r="C1710" s="20" t="s">
        <v>3459</v>
      </c>
      <c r="D1710" s="2">
        <v>0.35</v>
      </c>
      <c r="E1710" s="21"/>
      <c r="F1710" s="2">
        <f t="shared" si="35"/>
        <v>0</v>
      </c>
      <c r="G1710" s="3" t="str">
        <f>HYPERLINK("http://tmmp-catalog.com.ua/katalog/26/14542/","фото")</f>
        <v>фото</v>
      </c>
      <c r="H1710" s="22"/>
    </row>
    <row r="1711" spans="1:8" ht="15" x14ac:dyDescent="0.2">
      <c r="A1711" s="18">
        <v>2000000021621</v>
      </c>
      <c r="B1711" s="19" t="s">
        <v>3460</v>
      </c>
      <c r="C1711" s="20" t="s">
        <v>3461</v>
      </c>
      <c r="D1711" s="2">
        <v>0.3</v>
      </c>
      <c r="E1711" s="21"/>
      <c r="F1711" s="2">
        <f t="shared" si="35"/>
        <v>0</v>
      </c>
      <c r="G1711" s="3" t="str">
        <f>HYPERLINK("http://tmmp-catalog.com.ua/katalog/26/14545/","фото")</f>
        <v>фото</v>
      </c>
      <c r="H1711" s="22"/>
    </row>
    <row r="1712" spans="1:8" ht="15" x14ac:dyDescent="0.2">
      <c r="A1712" s="18">
        <v>2000000023502</v>
      </c>
      <c r="B1712" s="19" t="s">
        <v>3462</v>
      </c>
      <c r="C1712" s="20" t="s">
        <v>3463</v>
      </c>
      <c r="D1712" s="2">
        <v>0.25</v>
      </c>
      <c r="E1712" s="21"/>
      <c r="F1712" s="2">
        <f t="shared" si="35"/>
        <v>0</v>
      </c>
      <c r="G1712" s="3" t="str">
        <f>HYPERLINK("http://tmmp-catalog.com.ua/katalog/28/15201/","фото")</f>
        <v>фото</v>
      </c>
      <c r="H1712" s="22"/>
    </row>
    <row r="1713" spans="1:8" ht="23.25" x14ac:dyDescent="0.2">
      <c r="A1713" s="18"/>
      <c r="B1713" s="51"/>
      <c r="C1713" s="56" t="s">
        <v>5</v>
      </c>
      <c r="D1713" s="52"/>
      <c r="E1713" s="53"/>
      <c r="F1713" s="52"/>
      <c r="G1713" s="54"/>
      <c r="H1713" s="55"/>
    </row>
    <row r="1714" spans="1:8" ht="15" x14ac:dyDescent="0.2">
      <c r="A1714" s="18">
        <v>2000000003535</v>
      </c>
      <c r="B1714" s="19" t="s">
        <v>3464</v>
      </c>
      <c r="C1714" s="20" t="s">
        <v>3465</v>
      </c>
      <c r="D1714" s="2">
        <v>19</v>
      </c>
      <c r="E1714" s="21"/>
      <c r="F1714" s="2">
        <f t="shared" ref="F1714:F1777" si="36">cena*zakaz</f>
        <v>0</v>
      </c>
      <c r="G1714" s="3" t="str">
        <f>HYPERLINK("http://tmmp-catalog.com.ua/katalog/13/15534/","фото")</f>
        <v>фото</v>
      </c>
      <c r="H1714" s="22"/>
    </row>
    <row r="1715" spans="1:8" ht="15" x14ac:dyDescent="0.2">
      <c r="A1715" s="18">
        <v>2000000003566</v>
      </c>
      <c r="B1715" s="19" t="s">
        <v>3466</v>
      </c>
      <c r="C1715" s="20" t="s">
        <v>3467</v>
      </c>
      <c r="D1715" s="2">
        <v>19</v>
      </c>
      <c r="E1715" s="21"/>
      <c r="F1715" s="2">
        <f t="shared" si="36"/>
        <v>0</v>
      </c>
      <c r="G1715" s="3" t="str">
        <f>HYPERLINK("http://tmmp-catalog.com.ua/katalog/13/15537/","фото")</f>
        <v>фото</v>
      </c>
      <c r="H1715" s="22"/>
    </row>
    <row r="1716" spans="1:8" ht="15" x14ac:dyDescent="0.2">
      <c r="A1716" s="18">
        <v>2000000003542</v>
      </c>
      <c r="B1716" s="19" t="s">
        <v>3468</v>
      </c>
      <c r="C1716" s="20" t="s">
        <v>3469</v>
      </c>
      <c r="D1716" s="2">
        <v>19</v>
      </c>
      <c r="E1716" s="21"/>
      <c r="F1716" s="2">
        <f t="shared" si="36"/>
        <v>0</v>
      </c>
      <c r="G1716" s="3" t="str">
        <f>HYPERLINK("http://tmmp-catalog.com.ua/katalog/13/15535/","фото")</f>
        <v>фото</v>
      </c>
      <c r="H1716" s="22"/>
    </row>
    <row r="1717" spans="1:8" ht="15" x14ac:dyDescent="0.2">
      <c r="A1717" s="18">
        <v>2000000003528</v>
      </c>
      <c r="B1717" s="19" t="s">
        <v>3470</v>
      </c>
      <c r="C1717" s="20" t="s">
        <v>3471</v>
      </c>
      <c r="D1717" s="2">
        <v>26</v>
      </c>
      <c r="E1717" s="21"/>
      <c r="F1717" s="2">
        <f t="shared" si="36"/>
        <v>0</v>
      </c>
      <c r="G1717" s="3" t="str">
        <f>HYPERLINK("http://tmmp-catalog.com.ua/katalog/13/15533/","фото")</f>
        <v>фото</v>
      </c>
      <c r="H1717" s="22"/>
    </row>
    <row r="1718" spans="1:8" ht="15" x14ac:dyDescent="0.2">
      <c r="A1718" s="18">
        <v>2000000009346</v>
      </c>
      <c r="B1718" s="19" t="s">
        <v>3472</v>
      </c>
      <c r="C1718" s="20" t="s">
        <v>3473</v>
      </c>
      <c r="D1718" s="2">
        <v>19</v>
      </c>
      <c r="E1718" s="21"/>
      <c r="F1718" s="2">
        <f t="shared" si="36"/>
        <v>0</v>
      </c>
      <c r="G1718" s="3" t="str">
        <f>HYPERLINK("http://tmmp-catalog.com.ua/katalog/13/16645/","фото")</f>
        <v>фото</v>
      </c>
      <c r="H1718" s="22"/>
    </row>
    <row r="1719" spans="1:8" ht="15" x14ac:dyDescent="0.2">
      <c r="A1719" s="18">
        <v>2000000003603</v>
      </c>
      <c r="B1719" s="19" t="s">
        <v>3474</v>
      </c>
      <c r="C1719" s="20" t="s">
        <v>3475</v>
      </c>
      <c r="D1719" s="2">
        <v>9</v>
      </c>
      <c r="E1719" s="21"/>
      <c r="F1719" s="2">
        <f t="shared" si="36"/>
        <v>0</v>
      </c>
      <c r="G1719" s="3" t="str">
        <f>HYPERLINK("http://tmmp-catalog.com.ua/katalog/13/15541/","фото")</f>
        <v>фото</v>
      </c>
      <c r="H1719" s="22"/>
    </row>
    <row r="1720" spans="1:8" ht="15" x14ac:dyDescent="0.2">
      <c r="A1720" s="18">
        <v>2000000003610</v>
      </c>
      <c r="B1720" s="19" t="s">
        <v>3476</v>
      </c>
      <c r="C1720" s="20" t="s">
        <v>3477</v>
      </c>
      <c r="D1720" s="2">
        <v>18.5</v>
      </c>
      <c r="E1720" s="21"/>
      <c r="F1720" s="2">
        <f t="shared" si="36"/>
        <v>0</v>
      </c>
      <c r="G1720" s="3" t="str">
        <f>HYPERLINK("http://tmmp-catalog.com.ua/katalog/13/15542/","фото")</f>
        <v>фото</v>
      </c>
      <c r="H1720" s="22"/>
    </row>
    <row r="1721" spans="1:8" ht="15" x14ac:dyDescent="0.2">
      <c r="A1721" s="18">
        <v>2000000003634</v>
      </c>
      <c r="B1721" s="19" t="s">
        <v>3478</v>
      </c>
      <c r="C1721" s="20" t="s">
        <v>3479</v>
      </c>
      <c r="D1721" s="2">
        <v>13.6</v>
      </c>
      <c r="E1721" s="21"/>
      <c r="F1721" s="2">
        <f t="shared" si="36"/>
        <v>0</v>
      </c>
      <c r="G1721" s="3" t="str">
        <f>HYPERLINK("http://tmmp-catalog.com.ua/katalog/13/15544/","фото")</f>
        <v>фото</v>
      </c>
      <c r="H1721" s="22"/>
    </row>
    <row r="1722" spans="1:8" ht="15" x14ac:dyDescent="0.2">
      <c r="A1722" s="18">
        <v>2000000003641</v>
      </c>
      <c r="B1722" s="19" t="s">
        <v>3480</v>
      </c>
      <c r="C1722" s="20" t="s">
        <v>3481</v>
      </c>
      <c r="D1722" s="2">
        <v>8.5</v>
      </c>
      <c r="E1722" s="21"/>
      <c r="F1722" s="2">
        <f t="shared" si="36"/>
        <v>0</v>
      </c>
      <c r="G1722" s="3" t="str">
        <f>HYPERLINK("http://tmmp-catalog.com.ua/katalog/13/15545/","фото")</f>
        <v>фото</v>
      </c>
      <c r="H1722" s="22"/>
    </row>
    <row r="1723" spans="1:8" ht="15" x14ac:dyDescent="0.2">
      <c r="A1723" s="18">
        <v>2000000003726</v>
      </c>
      <c r="B1723" s="19" t="s">
        <v>3482</v>
      </c>
      <c r="C1723" s="20" t="s">
        <v>3483</v>
      </c>
      <c r="D1723" s="2">
        <v>0.65</v>
      </c>
      <c r="E1723" s="21"/>
      <c r="F1723" s="2">
        <f t="shared" si="36"/>
        <v>0</v>
      </c>
      <c r="G1723" s="3" t="str">
        <f>HYPERLINK("http://tmmp-catalog.com.ua/katalog/13/15553/","фото")</f>
        <v>фото</v>
      </c>
      <c r="H1723" s="22"/>
    </row>
    <row r="1724" spans="1:8" ht="15" x14ac:dyDescent="0.2">
      <c r="A1724" s="18">
        <v>2000000003733</v>
      </c>
      <c r="B1724" s="19" t="s">
        <v>3484</v>
      </c>
      <c r="C1724" s="20" t="s">
        <v>3485</v>
      </c>
      <c r="D1724" s="2">
        <v>0.65</v>
      </c>
      <c r="E1724" s="21"/>
      <c r="F1724" s="2">
        <f t="shared" si="36"/>
        <v>0</v>
      </c>
      <c r="G1724" s="3" t="str">
        <f>HYPERLINK("http://tmmp-catalog.com.ua/katalog/13/15554/","фото")</f>
        <v>фото</v>
      </c>
      <c r="H1724" s="22"/>
    </row>
    <row r="1725" spans="1:8" ht="15" x14ac:dyDescent="0.2">
      <c r="A1725" s="18">
        <v>2000000009759</v>
      </c>
      <c r="B1725" s="19" t="s">
        <v>3486</v>
      </c>
      <c r="C1725" s="20" t="s">
        <v>3487</v>
      </c>
      <c r="D1725" s="2">
        <v>3</v>
      </c>
      <c r="E1725" s="21"/>
      <c r="F1725" s="2">
        <f t="shared" si="36"/>
        <v>0</v>
      </c>
      <c r="G1725" s="3" t="str">
        <f>HYPERLINK("http://tmmp-catalog.com.ua/katalog/13/16700/","фото")</f>
        <v>фото</v>
      </c>
      <c r="H1725" s="22"/>
    </row>
    <row r="1726" spans="1:8" ht="15" x14ac:dyDescent="0.2">
      <c r="A1726" s="18">
        <v>2000000003740</v>
      </c>
      <c r="B1726" s="19" t="s">
        <v>3488</v>
      </c>
      <c r="C1726" s="20" t="s">
        <v>3489</v>
      </c>
      <c r="D1726" s="2">
        <v>4</v>
      </c>
      <c r="E1726" s="21"/>
      <c r="F1726" s="2">
        <f t="shared" si="36"/>
        <v>0</v>
      </c>
      <c r="G1726" s="3" t="str">
        <f>HYPERLINK("http://tmmp-catalog.com.ua/katalog/13/15555/","фото")</f>
        <v>фото</v>
      </c>
      <c r="H1726" s="22"/>
    </row>
    <row r="1727" spans="1:8" ht="15" x14ac:dyDescent="0.2">
      <c r="A1727" s="18">
        <v>2000000003757</v>
      </c>
      <c r="B1727" s="19" t="s">
        <v>3490</v>
      </c>
      <c r="C1727" s="20" t="s">
        <v>3491</v>
      </c>
      <c r="D1727" s="2">
        <v>3.2</v>
      </c>
      <c r="E1727" s="21"/>
      <c r="F1727" s="2">
        <f t="shared" si="36"/>
        <v>0</v>
      </c>
      <c r="G1727" s="3" t="str">
        <f>HYPERLINK("http://tmmp-catalog.com.ua/katalog/13/15556/","фото")</f>
        <v>фото</v>
      </c>
      <c r="H1727" s="22"/>
    </row>
    <row r="1728" spans="1:8" ht="15" x14ac:dyDescent="0.2">
      <c r="A1728" s="18">
        <v>2000000003764</v>
      </c>
      <c r="B1728" s="19" t="s">
        <v>3492</v>
      </c>
      <c r="C1728" s="20" t="s">
        <v>3493</v>
      </c>
      <c r="D1728" s="2">
        <v>3.2</v>
      </c>
      <c r="E1728" s="21"/>
      <c r="F1728" s="2">
        <f t="shared" si="36"/>
        <v>0</v>
      </c>
      <c r="G1728" s="3" t="str">
        <f>HYPERLINK("http://tmmp-catalog.com.ua/katalog/13/15557/","фото")</f>
        <v>фото</v>
      </c>
      <c r="H1728" s="22"/>
    </row>
    <row r="1729" spans="1:8" ht="15" x14ac:dyDescent="0.2">
      <c r="A1729" s="18"/>
      <c r="B1729" s="19" t="s">
        <v>3494</v>
      </c>
      <c r="C1729" s="20" t="s">
        <v>3495</v>
      </c>
      <c r="D1729" s="2">
        <v>1.75</v>
      </c>
      <c r="E1729" s="21"/>
      <c r="F1729" s="2">
        <f t="shared" si="36"/>
        <v>0</v>
      </c>
      <c r="G1729" s="3" t="str">
        <f>HYPERLINK("http://tmmp-catalog.com.ua/katalog/13/15558/","фото")</f>
        <v>фото</v>
      </c>
      <c r="H1729" s="22"/>
    </row>
    <row r="1730" spans="1:8" ht="15" x14ac:dyDescent="0.2">
      <c r="A1730" s="18"/>
      <c r="B1730" s="19" t="s">
        <v>3496</v>
      </c>
      <c r="C1730" s="20" t="s">
        <v>3497</v>
      </c>
      <c r="D1730" s="2">
        <v>1.75</v>
      </c>
      <c r="E1730" s="21"/>
      <c r="F1730" s="2">
        <f t="shared" si="36"/>
        <v>0</v>
      </c>
      <c r="G1730" s="3" t="str">
        <f>HYPERLINK("http://tmmp-catalog.com.ua/katalog/37/18283/","фото")</f>
        <v>фото</v>
      </c>
      <c r="H1730" s="22"/>
    </row>
    <row r="1731" spans="1:8" ht="15" x14ac:dyDescent="0.2">
      <c r="A1731" s="18">
        <v>2000000009506</v>
      </c>
      <c r="B1731" s="19" t="s">
        <v>3498</v>
      </c>
      <c r="C1731" s="20" t="s">
        <v>3499</v>
      </c>
      <c r="D1731" s="2">
        <v>0.4</v>
      </c>
      <c r="E1731" s="21"/>
      <c r="F1731" s="2">
        <f t="shared" si="36"/>
        <v>0</v>
      </c>
      <c r="G1731" s="3" t="str">
        <f>HYPERLINK("http://tmmp-catalog.com.ua/katalog/13/16669/","фото")</f>
        <v>фото</v>
      </c>
      <c r="H1731" s="22"/>
    </row>
    <row r="1732" spans="1:8" ht="15" x14ac:dyDescent="0.2">
      <c r="A1732" s="18">
        <v>2000000003795</v>
      </c>
      <c r="B1732" s="19" t="s">
        <v>3500</v>
      </c>
      <c r="C1732" s="20" t="s">
        <v>3501</v>
      </c>
      <c r="D1732" s="2">
        <v>0.1</v>
      </c>
      <c r="E1732" s="21"/>
      <c r="F1732" s="2">
        <f t="shared" si="36"/>
        <v>0</v>
      </c>
      <c r="G1732" s="3" t="str">
        <f>HYPERLINK("http://tmmp-catalog.com.ua/katalog/13/15560/","фото")</f>
        <v>фото</v>
      </c>
      <c r="H1732" s="22"/>
    </row>
    <row r="1733" spans="1:8" ht="15" x14ac:dyDescent="0.2">
      <c r="A1733" s="18">
        <v>2000000003801</v>
      </c>
      <c r="B1733" s="19" t="s">
        <v>3502</v>
      </c>
      <c r="C1733" s="20" t="s">
        <v>3503</v>
      </c>
      <c r="D1733" s="2">
        <v>0.1</v>
      </c>
      <c r="E1733" s="21"/>
      <c r="F1733" s="2">
        <f t="shared" si="36"/>
        <v>0</v>
      </c>
      <c r="G1733" s="3" t="str">
        <f>HYPERLINK("http://tmmp-catalog.com.ua/katalog/13/15561/","фото")</f>
        <v>фото</v>
      </c>
      <c r="H1733" s="22"/>
    </row>
    <row r="1734" spans="1:8" ht="15" x14ac:dyDescent="0.2">
      <c r="A1734" s="18">
        <v>2000000003818</v>
      </c>
      <c r="B1734" s="19" t="s">
        <v>3504</v>
      </c>
      <c r="C1734" s="20" t="s">
        <v>3505</v>
      </c>
      <c r="D1734" s="2">
        <v>0.1</v>
      </c>
      <c r="E1734" s="21"/>
      <c r="F1734" s="2">
        <f t="shared" si="36"/>
        <v>0</v>
      </c>
      <c r="G1734" s="3" t="str">
        <f>HYPERLINK("http://tmmp-catalog.com.ua/katalog/13/15562/","фото")</f>
        <v>фото</v>
      </c>
      <c r="H1734" s="22"/>
    </row>
    <row r="1735" spans="1:8" ht="15" x14ac:dyDescent="0.2">
      <c r="A1735" s="18">
        <v>2000000003825</v>
      </c>
      <c r="B1735" s="19" t="s">
        <v>3506</v>
      </c>
      <c r="C1735" s="20" t="s">
        <v>3507</v>
      </c>
      <c r="D1735" s="2">
        <v>0.1</v>
      </c>
      <c r="E1735" s="21"/>
      <c r="F1735" s="2">
        <f t="shared" si="36"/>
        <v>0</v>
      </c>
      <c r="G1735" s="3" t="str">
        <f>HYPERLINK("http://tmmp-catalog.com.ua/katalog/13/15563/","фото")</f>
        <v>фото</v>
      </c>
      <c r="H1735" s="22"/>
    </row>
    <row r="1736" spans="1:8" ht="15" x14ac:dyDescent="0.2">
      <c r="A1736" s="18">
        <v>2000000003832</v>
      </c>
      <c r="B1736" s="19" t="s">
        <v>3508</v>
      </c>
      <c r="C1736" s="20" t="s">
        <v>3509</v>
      </c>
      <c r="D1736" s="2">
        <v>0.1</v>
      </c>
      <c r="E1736" s="21"/>
      <c r="F1736" s="2">
        <f t="shared" si="36"/>
        <v>0</v>
      </c>
      <c r="G1736" s="3" t="str">
        <f>HYPERLINK("http://tmmp-catalog.com.ua/katalog/13/15564/","фото")</f>
        <v>фото</v>
      </c>
      <c r="H1736" s="22"/>
    </row>
    <row r="1737" spans="1:8" ht="15" x14ac:dyDescent="0.2">
      <c r="A1737" s="18">
        <v>2000000003849</v>
      </c>
      <c r="B1737" s="19" t="s">
        <v>3510</v>
      </c>
      <c r="C1737" s="20" t="s">
        <v>3511</v>
      </c>
      <c r="D1737" s="2">
        <v>39</v>
      </c>
      <c r="E1737" s="21"/>
      <c r="F1737" s="2">
        <f t="shared" si="36"/>
        <v>0</v>
      </c>
      <c r="G1737" s="3" t="str">
        <f>HYPERLINK("http://tmmp-catalog.com.ua/katalog/13/15565/","фото")</f>
        <v>фото</v>
      </c>
      <c r="H1737" s="22"/>
    </row>
    <row r="1738" spans="1:8" ht="15" x14ac:dyDescent="0.2">
      <c r="A1738" s="18">
        <v>2000000003863</v>
      </c>
      <c r="B1738" s="19" t="s">
        <v>3512</v>
      </c>
      <c r="C1738" s="20" t="s">
        <v>3513</v>
      </c>
      <c r="D1738" s="2">
        <v>39</v>
      </c>
      <c r="E1738" s="21"/>
      <c r="F1738" s="2">
        <f t="shared" si="36"/>
        <v>0</v>
      </c>
      <c r="G1738" s="3" t="str">
        <f>HYPERLINK("http://tmmp-catalog.com.ua/katalog/13/15567/","фото")</f>
        <v>фото</v>
      </c>
      <c r="H1738" s="22"/>
    </row>
    <row r="1739" spans="1:8" ht="15" x14ac:dyDescent="0.2">
      <c r="A1739" s="18"/>
      <c r="B1739" s="19" t="s">
        <v>3514</v>
      </c>
      <c r="C1739" s="20" t="s">
        <v>3515</v>
      </c>
      <c r="D1739" s="2">
        <v>76</v>
      </c>
      <c r="E1739" s="21"/>
      <c r="F1739" s="2">
        <f t="shared" si="36"/>
        <v>0</v>
      </c>
      <c r="G1739" s="3" t="str">
        <f>HYPERLINK("http://tmmp-catalog.com.ua/katalog/13/18181/","фото")</f>
        <v>фото</v>
      </c>
      <c r="H1739" s="22"/>
    </row>
    <row r="1740" spans="1:8" ht="15" x14ac:dyDescent="0.2">
      <c r="A1740" s="18">
        <v>2000000003931</v>
      </c>
      <c r="B1740" s="19" t="s">
        <v>3516</v>
      </c>
      <c r="C1740" s="20" t="s">
        <v>3517</v>
      </c>
      <c r="D1740" s="2">
        <v>38</v>
      </c>
      <c r="E1740" s="21"/>
      <c r="F1740" s="2">
        <f t="shared" si="36"/>
        <v>0</v>
      </c>
      <c r="G1740" s="3" t="str">
        <f>HYPERLINK("http://tmmp-catalog.com.ua/katalog/13/15574/","фото")</f>
        <v>фото</v>
      </c>
      <c r="H1740" s="22"/>
    </row>
    <row r="1741" spans="1:8" ht="15" x14ac:dyDescent="0.2">
      <c r="A1741" s="18">
        <v>2000000003948</v>
      </c>
      <c r="B1741" s="19" t="s">
        <v>3518</v>
      </c>
      <c r="C1741" s="20" t="s">
        <v>3519</v>
      </c>
      <c r="D1741" s="2">
        <v>27</v>
      </c>
      <c r="E1741" s="21"/>
      <c r="F1741" s="2">
        <f t="shared" si="36"/>
        <v>0</v>
      </c>
      <c r="G1741" s="3" t="str">
        <f>HYPERLINK("http://tmmp-catalog.com.ua/katalog/13/15575/","фото")</f>
        <v>фото</v>
      </c>
      <c r="H1741" s="22"/>
    </row>
    <row r="1742" spans="1:8" ht="15" x14ac:dyDescent="0.2">
      <c r="A1742" s="18">
        <v>2000000003979</v>
      </c>
      <c r="B1742" s="19" t="s">
        <v>3520</v>
      </c>
      <c r="C1742" s="20" t="s">
        <v>3521</v>
      </c>
      <c r="D1742" s="2">
        <v>36</v>
      </c>
      <c r="E1742" s="21"/>
      <c r="F1742" s="2">
        <f t="shared" si="36"/>
        <v>0</v>
      </c>
      <c r="G1742" s="3" t="str">
        <f>HYPERLINK("http://tmmp-catalog.com.ua/katalog/13/15578/","фото")</f>
        <v>фото</v>
      </c>
      <c r="H1742" s="22"/>
    </row>
    <row r="1743" spans="1:8" ht="15" x14ac:dyDescent="0.2">
      <c r="A1743" s="18">
        <v>2000000003955</v>
      </c>
      <c r="B1743" s="19" t="s">
        <v>3522</v>
      </c>
      <c r="C1743" s="20" t="s">
        <v>3523</v>
      </c>
      <c r="D1743" s="2">
        <v>20</v>
      </c>
      <c r="E1743" s="21"/>
      <c r="F1743" s="2">
        <f t="shared" si="36"/>
        <v>0</v>
      </c>
      <c r="G1743" s="3" t="str">
        <f>HYPERLINK("http://tmmp-catalog.com.ua/katalog/13/15576/","фото")</f>
        <v>фото</v>
      </c>
      <c r="H1743" s="22"/>
    </row>
    <row r="1744" spans="1:8" ht="15" x14ac:dyDescent="0.2">
      <c r="A1744" s="18">
        <v>2000000003962</v>
      </c>
      <c r="B1744" s="19" t="s">
        <v>3524</v>
      </c>
      <c r="C1744" s="20" t="s">
        <v>3525</v>
      </c>
      <c r="D1744" s="2">
        <v>27.5</v>
      </c>
      <c r="E1744" s="21"/>
      <c r="F1744" s="2">
        <f t="shared" si="36"/>
        <v>0</v>
      </c>
      <c r="G1744" s="3" t="str">
        <f>HYPERLINK("http://tmmp-catalog.com.ua/katalog/13/15577/","фото")</f>
        <v>фото</v>
      </c>
      <c r="H1744" s="22"/>
    </row>
    <row r="1745" spans="1:8" ht="15" x14ac:dyDescent="0.2">
      <c r="A1745" s="18">
        <v>2000000003986</v>
      </c>
      <c r="B1745" s="19" t="s">
        <v>3526</v>
      </c>
      <c r="C1745" s="20" t="s">
        <v>3527</v>
      </c>
      <c r="D1745" s="2">
        <v>5</v>
      </c>
      <c r="E1745" s="21"/>
      <c r="F1745" s="2">
        <f t="shared" si="36"/>
        <v>0</v>
      </c>
      <c r="G1745" s="3" t="str">
        <f>HYPERLINK("http://tmmp-catalog.com.ua/katalog/13/15579/","фото")</f>
        <v>фото</v>
      </c>
      <c r="H1745" s="22"/>
    </row>
    <row r="1746" spans="1:8" ht="15" x14ac:dyDescent="0.2">
      <c r="A1746" s="18">
        <v>2000000004006</v>
      </c>
      <c r="B1746" s="19" t="s">
        <v>3528</v>
      </c>
      <c r="C1746" s="20" t="s">
        <v>3529</v>
      </c>
      <c r="D1746" s="2">
        <v>1.9</v>
      </c>
      <c r="E1746" s="21"/>
      <c r="F1746" s="2">
        <f t="shared" si="36"/>
        <v>0</v>
      </c>
      <c r="G1746" s="3" t="str">
        <f>HYPERLINK("http://tmmp-catalog.com.ua/katalog/13/15581/","фото")</f>
        <v>фото</v>
      </c>
      <c r="H1746" s="22"/>
    </row>
    <row r="1747" spans="1:8" ht="15" x14ac:dyDescent="0.2">
      <c r="A1747" s="18">
        <v>2000000004020</v>
      </c>
      <c r="B1747" s="19" t="s">
        <v>3530</v>
      </c>
      <c r="C1747" s="20" t="s">
        <v>3531</v>
      </c>
      <c r="D1747" s="2">
        <v>4</v>
      </c>
      <c r="E1747" s="21"/>
      <c r="F1747" s="2">
        <f t="shared" si="36"/>
        <v>0</v>
      </c>
      <c r="G1747" s="3" t="str">
        <f>HYPERLINK("http://tmmp-catalog.com.ua/katalog/13/15583/","фото")</f>
        <v>фото</v>
      </c>
      <c r="H1747" s="22"/>
    </row>
    <row r="1748" spans="1:8" ht="15" x14ac:dyDescent="0.2">
      <c r="A1748" s="18">
        <v>2000000004051</v>
      </c>
      <c r="B1748" s="19" t="s">
        <v>3532</v>
      </c>
      <c r="C1748" s="20" t="s">
        <v>3533</v>
      </c>
      <c r="D1748" s="2">
        <v>1</v>
      </c>
      <c r="E1748" s="21"/>
      <c r="F1748" s="2">
        <f t="shared" si="36"/>
        <v>0</v>
      </c>
      <c r="G1748" s="3" t="str">
        <f>HYPERLINK("http://tmmp-catalog.com.ua/katalog/13/15586/","фото")</f>
        <v>фото</v>
      </c>
      <c r="H1748" s="22"/>
    </row>
    <row r="1749" spans="1:8" ht="15" x14ac:dyDescent="0.2">
      <c r="A1749" s="18">
        <v>2000000004068</v>
      </c>
      <c r="B1749" s="19" t="s">
        <v>3534</v>
      </c>
      <c r="C1749" s="20" t="s">
        <v>3535</v>
      </c>
      <c r="D1749" s="2">
        <v>10</v>
      </c>
      <c r="E1749" s="21"/>
      <c r="F1749" s="2">
        <f t="shared" si="36"/>
        <v>0</v>
      </c>
      <c r="G1749" s="3" t="str">
        <f>HYPERLINK("http://tmmp-catalog.com.ua/katalog/13/15587/","фото")</f>
        <v>фото</v>
      </c>
      <c r="H1749" s="22"/>
    </row>
    <row r="1750" spans="1:8" ht="15" x14ac:dyDescent="0.2">
      <c r="A1750" s="18">
        <v>2000000009438</v>
      </c>
      <c r="B1750" s="19" t="s">
        <v>3536</v>
      </c>
      <c r="C1750" s="20" t="s">
        <v>3537</v>
      </c>
      <c r="D1750" s="2">
        <v>3.3</v>
      </c>
      <c r="E1750" s="21"/>
      <c r="F1750" s="2">
        <f t="shared" si="36"/>
        <v>0</v>
      </c>
      <c r="G1750" s="3" t="str">
        <f>HYPERLINK("http://tmmp-catalog.com.ua/katalog/13/16659/","фото")</f>
        <v>фото</v>
      </c>
      <c r="H1750" s="22"/>
    </row>
    <row r="1751" spans="1:8" ht="15" x14ac:dyDescent="0.2">
      <c r="A1751" s="18">
        <v>2000000004082</v>
      </c>
      <c r="B1751" s="19" t="s">
        <v>3538</v>
      </c>
      <c r="C1751" s="20" t="s">
        <v>3539</v>
      </c>
      <c r="D1751" s="2">
        <v>2.2000000000000002</v>
      </c>
      <c r="E1751" s="21"/>
      <c r="F1751" s="2">
        <f t="shared" si="36"/>
        <v>0</v>
      </c>
      <c r="G1751" s="3" t="str">
        <f>HYPERLINK("http://tmmp-catalog.com.ua/katalog/13/15589/","фото")</f>
        <v>фото</v>
      </c>
      <c r="H1751" s="22"/>
    </row>
    <row r="1752" spans="1:8" ht="15" x14ac:dyDescent="0.2">
      <c r="A1752" s="18">
        <v>2000000004099</v>
      </c>
      <c r="B1752" s="19" t="s">
        <v>3540</v>
      </c>
      <c r="C1752" s="20" t="s">
        <v>3541</v>
      </c>
      <c r="D1752" s="2">
        <v>4.5</v>
      </c>
      <c r="E1752" s="21"/>
      <c r="F1752" s="2">
        <f t="shared" si="36"/>
        <v>0</v>
      </c>
      <c r="G1752" s="3" t="str">
        <f>HYPERLINK("http://tmmp-catalog.com.ua/katalog/13/15590/","фото")</f>
        <v>фото</v>
      </c>
      <c r="H1752" s="22"/>
    </row>
    <row r="1753" spans="1:8" ht="15" x14ac:dyDescent="0.2">
      <c r="A1753" s="18">
        <v>2000000004105</v>
      </c>
      <c r="B1753" s="19" t="s">
        <v>3542</v>
      </c>
      <c r="C1753" s="20" t="s">
        <v>3543</v>
      </c>
      <c r="D1753" s="2">
        <v>12.5</v>
      </c>
      <c r="E1753" s="21"/>
      <c r="F1753" s="2">
        <f t="shared" si="36"/>
        <v>0</v>
      </c>
      <c r="G1753" s="3" t="str">
        <f>HYPERLINK("http://tmmp-catalog.com.ua/katalog/13/15591/","фото")</f>
        <v>фото</v>
      </c>
      <c r="H1753" s="22"/>
    </row>
    <row r="1754" spans="1:8" ht="15" x14ac:dyDescent="0.2">
      <c r="A1754" s="18">
        <v>2000000004112</v>
      </c>
      <c r="B1754" s="19" t="s">
        <v>3544</v>
      </c>
      <c r="C1754" s="20" t="s">
        <v>3545</v>
      </c>
      <c r="D1754" s="2">
        <v>18</v>
      </c>
      <c r="E1754" s="21"/>
      <c r="F1754" s="2">
        <f t="shared" si="36"/>
        <v>0</v>
      </c>
      <c r="G1754" s="3" t="str">
        <f>HYPERLINK("http://tmmp-catalog.com.ua/katalog/13/15592/","фото")</f>
        <v>фото</v>
      </c>
      <c r="H1754" s="22"/>
    </row>
    <row r="1755" spans="1:8" ht="15" x14ac:dyDescent="0.2">
      <c r="A1755" s="18">
        <v>2000000010038</v>
      </c>
      <c r="B1755" s="19" t="s">
        <v>3546</v>
      </c>
      <c r="C1755" s="20" t="s">
        <v>3547</v>
      </c>
      <c r="D1755" s="2">
        <v>11.5</v>
      </c>
      <c r="E1755" s="21"/>
      <c r="F1755" s="2">
        <f t="shared" si="36"/>
        <v>0</v>
      </c>
      <c r="G1755" s="3" t="str">
        <f>HYPERLINK("http://tmmp-catalog.com.ua/katalog/13/16729/","фото")</f>
        <v>фото</v>
      </c>
      <c r="H1755" s="22"/>
    </row>
    <row r="1756" spans="1:8" ht="15" x14ac:dyDescent="0.2">
      <c r="A1756" s="18">
        <v>2000000004129</v>
      </c>
      <c r="B1756" s="19" t="s">
        <v>3548</v>
      </c>
      <c r="C1756" s="20" t="s">
        <v>3549</v>
      </c>
      <c r="D1756" s="2">
        <v>15.6</v>
      </c>
      <c r="E1756" s="21"/>
      <c r="F1756" s="2">
        <f t="shared" si="36"/>
        <v>0</v>
      </c>
      <c r="G1756" s="3" t="str">
        <f>HYPERLINK("http://tmmp-catalog.com.ua/katalog/13/15593/","фото")</f>
        <v>фото</v>
      </c>
      <c r="H1756" s="22"/>
    </row>
    <row r="1757" spans="1:8" ht="15" x14ac:dyDescent="0.2">
      <c r="A1757" s="18">
        <v>2000000005317</v>
      </c>
      <c r="B1757" s="19" t="s">
        <v>3550</v>
      </c>
      <c r="C1757" s="20" t="s">
        <v>3551</v>
      </c>
      <c r="D1757" s="2">
        <v>0.4</v>
      </c>
      <c r="E1757" s="21"/>
      <c r="F1757" s="2">
        <f t="shared" si="36"/>
        <v>0</v>
      </c>
      <c r="G1757" s="3" t="str">
        <f>HYPERLINK("http://tmmp-catalog.com.ua/katalog/13/15712/","фото")</f>
        <v>фото</v>
      </c>
      <c r="H1757" s="22"/>
    </row>
    <row r="1758" spans="1:8" ht="15" x14ac:dyDescent="0.2">
      <c r="A1758" s="18">
        <v>2000000004174</v>
      </c>
      <c r="B1758" s="19" t="s">
        <v>3552</v>
      </c>
      <c r="C1758" s="20" t="s">
        <v>3553</v>
      </c>
      <c r="D1758" s="2">
        <v>3.3</v>
      </c>
      <c r="E1758" s="21"/>
      <c r="F1758" s="2">
        <f t="shared" si="36"/>
        <v>0</v>
      </c>
      <c r="G1758" s="3" t="str">
        <f>HYPERLINK("http://tmmp-catalog.com.ua/katalog/13/15598/","фото")</f>
        <v>фото</v>
      </c>
      <c r="H1758" s="22"/>
    </row>
    <row r="1759" spans="1:8" ht="15" x14ac:dyDescent="0.2">
      <c r="A1759" s="18">
        <v>2000000004211</v>
      </c>
      <c r="B1759" s="19" t="s">
        <v>3554</v>
      </c>
      <c r="C1759" s="20" t="s">
        <v>3555</v>
      </c>
      <c r="D1759" s="2">
        <v>2.4</v>
      </c>
      <c r="E1759" s="21"/>
      <c r="F1759" s="2">
        <f t="shared" si="36"/>
        <v>0</v>
      </c>
      <c r="G1759" s="3" t="str">
        <f>HYPERLINK("http://tmmp-catalog.com.ua/katalog/13/15602/","фото")</f>
        <v>фото</v>
      </c>
      <c r="H1759" s="22"/>
    </row>
    <row r="1760" spans="1:8" ht="15" x14ac:dyDescent="0.2">
      <c r="A1760" s="18">
        <v>2000000004181</v>
      </c>
      <c r="B1760" s="19" t="s">
        <v>3556</v>
      </c>
      <c r="C1760" s="20" t="s">
        <v>3557</v>
      </c>
      <c r="D1760" s="2">
        <v>2.4</v>
      </c>
      <c r="E1760" s="21"/>
      <c r="F1760" s="2">
        <f t="shared" si="36"/>
        <v>0</v>
      </c>
      <c r="G1760" s="3" t="str">
        <f>HYPERLINK("http://tmmp-catalog.com.ua/katalog/13/15599/","фото")</f>
        <v>фото</v>
      </c>
      <c r="H1760" s="22"/>
    </row>
    <row r="1761" spans="1:8" ht="15" x14ac:dyDescent="0.2">
      <c r="A1761" s="18">
        <v>2000000004228</v>
      </c>
      <c r="B1761" s="19" t="s">
        <v>3558</v>
      </c>
      <c r="C1761" s="20" t="s">
        <v>3559</v>
      </c>
      <c r="D1761" s="2">
        <v>0.2</v>
      </c>
      <c r="E1761" s="21"/>
      <c r="F1761" s="2">
        <f t="shared" si="36"/>
        <v>0</v>
      </c>
      <c r="G1761" s="3" t="str">
        <f>HYPERLINK("http://tmmp-catalog.com.ua/katalog/13/15603/","фото")</f>
        <v>фото</v>
      </c>
      <c r="H1761" s="22"/>
    </row>
    <row r="1762" spans="1:8" ht="15" x14ac:dyDescent="0.2">
      <c r="A1762" s="18">
        <v>2000000009384</v>
      </c>
      <c r="B1762" s="19" t="s">
        <v>3560</v>
      </c>
      <c r="C1762" s="20" t="s">
        <v>3561</v>
      </c>
      <c r="D1762" s="2">
        <v>0.35</v>
      </c>
      <c r="E1762" s="21"/>
      <c r="F1762" s="2">
        <f t="shared" si="36"/>
        <v>0</v>
      </c>
      <c r="G1762" s="3" t="str">
        <f>HYPERLINK("http://tmmp-catalog.com.ua/katalog/13/16653/","фото")</f>
        <v>фото</v>
      </c>
      <c r="H1762" s="22"/>
    </row>
    <row r="1763" spans="1:8" ht="15" x14ac:dyDescent="0.2">
      <c r="A1763" s="18">
        <v>2000000004419</v>
      </c>
      <c r="B1763" s="19" t="s">
        <v>3562</v>
      </c>
      <c r="C1763" s="20" t="s">
        <v>3563</v>
      </c>
      <c r="D1763" s="2">
        <v>14</v>
      </c>
      <c r="E1763" s="21"/>
      <c r="F1763" s="2">
        <f t="shared" si="36"/>
        <v>0</v>
      </c>
      <c r="G1763" s="3" t="str">
        <f>HYPERLINK("http://tmmp-catalog.com.ua/katalog/13/15622/","фото")</f>
        <v>фото</v>
      </c>
      <c r="H1763" s="22"/>
    </row>
    <row r="1764" spans="1:8" ht="15" x14ac:dyDescent="0.2">
      <c r="A1764" s="18">
        <v>2000000004266</v>
      </c>
      <c r="B1764" s="19" t="s">
        <v>3564</v>
      </c>
      <c r="C1764" s="20" t="s">
        <v>3565</v>
      </c>
      <c r="D1764" s="2">
        <v>3</v>
      </c>
      <c r="E1764" s="21"/>
      <c r="F1764" s="2">
        <f t="shared" si="36"/>
        <v>0</v>
      </c>
      <c r="G1764" s="3" t="str">
        <f>HYPERLINK("http://tmmp-catalog.com.ua/katalog/13/15607/","фото")</f>
        <v>фото</v>
      </c>
      <c r="H1764" s="22"/>
    </row>
    <row r="1765" spans="1:8" ht="15" x14ac:dyDescent="0.2">
      <c r="A1765" s="18">
        <v>2000000004273</v>
      </c>
      <c r="B1765" s="19" t="s">
        <v>3566</v>
      </c>
      <c r="C1765" s="20" t="s">
        <v>3567</v>
      </c>
      <c r="D1765" s="2">
        <v>11</v>
      </c>
      <c r="E1765" s="21"/>
      <c r="F1765" s="2">
        <f t="shared" si="36"/>
        <v>0</v>
      </c>
      <c r="G1765" s="3" t="str">
        <f>HYPERLINK("http://tmmp-catalog.com.ua/katalog/13/15608/","фото")</f>
        <v>фото</v>
      </c>
      <c r="H1765" s="22"/>
    </row>
    <row r="1766" spans="1:8" ht="15" x14ac:dyDescent="0.2">
      <c r="A1766" s="18">
        <v>2000000004310</v>
      </c>
      <c r="B1766" s="19" t="s">
        <v>3568</v>
      </c>
      <c r="C1766" s="20" t="s">
        <v>3569</v>
      </c>
      <c r="D1766" s="2">
        <v>2</v>
      </c>
      <c r="E1766" s="21"/>
      <c r="F1766" s="2">
        <f t="shared" si="36"/>
        <v>0</v>
      </c>
      <c r="G1766" s="3" t="str">
        <f>HYPERLINK("http://tmmp-catalog.com.ua/katalog/13/15612/","фото")</f>
        <v>фото</v>
      </c>
      <c r="H1766" s="22"/>
    </row>
    <row r="1767" spans="1:8" ht="15" x14ac:dyDescent="0.2">
      <c r="A1767" s="18">
        <v>2000000009988</v>
      </c>
      <c r="B1767" s="19" t="s">
        <v>3570</v>
      </c>
      <c r="C1767" s="20" t="s">
        <v>3571</v>
      </c>
      <c r="D1767" s="2">
        <v>2</v>
      </c>
      <c r="E1767" s="21"/>
      <c r="F1767" s="2">
        <f t="shared" si="36"/>
        <v>0</v>
      </c>
      <c r="G1767" s="3" t="str">
        <f>HYPERLINK("http://tmmp-catalog.com.ua/katalog/13/16724/","фото")</f>
        <v>фото</v>
      </c>
      <c r="H1767" s="22"/>
    </row>
    <row r="1768" spans="1:8" ht="15" x14ac:dyDescent="0.2">
      <c r="A1768" s="18">
        <v>2000000004334</v>
      </c>
      <c r="B1768" s="19" t="s">
        <v>3572</v>
      </c>
      <c r="C1768" s="20" t="s">
        <v>3573</v>
      </c>
      <c r="D1768" s="2">
        <v>1.6</v>
      </c>
      <c r="E1768" s="21"/>
      <c r="F1768" s="2">
        <f t="shared" si="36"/>
        <v>0</v>
      </c>
      <c r="G1768" s="3" t="str">
        <f>HYPERLINK("http://tmmp-catalog.com.ua/katalog/13/15614/","фото")</f>
        <v>фото</v>
      </c>
      <c r="H1768" s="22"/>
    </row>
    <row r="1769" spans="1:8" ht="15" x14ac:dyDescent="0.2">
      <c r="A1769" s="18">
        <v>2000000009971</v>
      </c>
      <c r="B1769" s="19" t="s">
        <v>3574</v>
      </c>
      <c r="C1769" s="20" t="s">
        <v>3575</v>
      </c>
      <c r="D1769" s="2">
        <v>1.75</v>
      </c>
      <c r="E1769" s="21"/>
      <c r="F1769" s="2">
        <f t="shared" si="36"/>
        <v>0</v>
      </c>
      <c r="G1769" s="3" t="str">
        <f>HYPERLINK("http://tmmp-catalog.com.ua/katalog/13/16723/","фото")</f>
        <v>фото</v>
      </c>
      <c r="H1769" s="22"/>
    </row>
    <row r="1770" spans="1:8" ht="15" x14ac:dyDescent="0.2">
      <c r="A1770" s="18">
        <v>2000000004358</v>
      </c>
      <c r="B1770" s="19" t="s">
        <v>3576</v>
      </c>
      <c r="C1770" s="20" t="s">
        <v>3577</v>
      </c>
      <c r="D1770" s="2">
        <v>2.1</v>
      </c>
      <c r="E1770" s="21"/>
      <c r="F1770" s="2">
        <f t="shared" si="36"/>
        <v>0</v>
      </c>
      <c r="G1770" s="3" t="str">
        <f>HYPERLINK("http://tmmp-catalog.com.ua/katalog/13/15616/","фото")</f>
        <v>фото</v>
      </c>
      <c r="H1770" s="22"/>
    </row>
    <row r="1771" spans="1:8" ht="15" x14ac:dyDescent="0.2">
      <c r="A1771" s="18">
        <v>2000000009513</v>
      </c>
      <c r="B1771" s="19" t="s">
        <v>3578</v>
      </c>
      <c r="C1771" s="20" t="s">
        <v>3579</v>
      </c>
      <c r="D1771" s="2">
        <v>0.75</v>
      </c>
      <c r="E1771" s="21"/>
      <c r="F1771" s="2">
        <f t="shared" si="36"/>
        <v>0</v>
      </c>
      <c r="G1771" s="3" t="str">
        <f>HYPERLINK("http://tmmp-catalog.com.ua/katalog/13/16670/","фото")</f>
        <v>фото</v>
      </c>
      <c r="H1771" s="22"/>
    </row>
    <row r="1772" spans="1:8" ht="15" x14ac:dyDescent="0.2">
      <c r="A1772" s="18">
        <v>2000000004372</v>
      </c>
      <c r="B1772" s="19" t="s">
        <v>3580</v>
      </c>
      <c r="C1772" s="20" t="s">
        <v>3581</v>
      </c>
      <c r="D1772" s="2">
        <v>0.8</v>
      </c>
      <c r="E1772" s="21"/>
      <c r="F1772" s="2">
        <f t="shared" si="36"/>
        <v>0</v>
      </c>
      <c r="G1772" s="3" t="str">
        <f>HYPERLINK("http://tmmp-catalog.com.ua/katalog/13/15618/","фото")</f>
        <v>фото</v>
      </c>
      <c r="H1772" s="22"/>
    </row>
    <row r="1773" spans="1:8" ht="15" x14ac:dyDescent="0.2">
      <c r="A1773" s="18">
        <v>2000000004389</v>
      </c>
      <c r="B1773" s="19" t="s">
        <v>3582</v>
      </c>
      <c r="C1773" s="20" t="s">
        <v>3583</v>
      </c>
      <c r="D1773" s="2">
        <v>0.8</v>
      </c>
      <c r="E1773" s="21"/>
      <c r="F1773" s="2">
        <f t="shared" si="36"/>
        <v>0</v>
      </c>
      <c r="G1773" s="3" t="str">
        <f>HYPERLINK("http://tmmp-catalog.com.ua/katalog/13/15619/","фото")</f>
        <v>фото</v>
      </c>
      <c r="H1773" s="22"/>
    </row>
    <row r="1774" spans="1:8" ht="15" x14ac:dyDescent="0.2">
      <c r="A1774" s="18">
        <v>2000000004396</v>
      </c>
      <c r="B1774" s="19" t="s">
        <v>3584</v>
      </c>
      <c r="C1774" s="20" t="s">
        <v>3585</v>
      </c>
      <c r="D1774" s="2">
        <v>0.8</v>
      </c>
      <c r="E1774" s="21"/>
      <c r="F1774" s="2">
        <f t="shared" si="36"/>
        <v>0</v>
      </c>
      <c r="G1774" s="3" t="str">
        <f>HYPERLINK("http://tmmp-catalog.com.ua/katalog/13/15620/","фото")</f>
        <v>фото</v>
      </c>
      <c r="H1774" s="22"/>
    </row>
    <row r="1775" spans="1:8" ht="15" x14ac:dyDescent="0.2">
      <c r="A1775" s="18">
        <v>2000000004402</v>
      </c>
      <c r="B1775" s="19" t="s">
        <v>3586</v>
      </c>
      <c r="C1775" s="20" t="s">
        <v>3587</v>
      </c>
      <c r="D1775" s="2">
        <v>0.8</v>
      </c>
      <c r="E1775" s="21"/>
      <c r="F1775" s="2">
        <f t="shared" si="36"/>
        <v>0</v>
      </c>
      <c r="G1775" s="3" t="str">
        <f>HYPERLINK("http://tmmp-catalog.com.ua/katalog/13/15621/","фото")</f>
        <v>фото</v>
      </c>
      <c r="H1775" s="22"/>
    </row>
    <row r="1776" spans="1:8" ht="15" x14ac:dyDescent="0.2">
      <c r="A1776" s="18">
        <v>2000000004433</v>
      </c>
      <c r="B1776" s="19" t="s">
        <v>3588</v>
      </c>
      <c r="C1776" s="20" t="s">
        <v>3589</v>
      </c>
      <c r="D1776" s="2">
        <v>3</v>
      </c>
      <c r="E1776" s="21"/>
      <c r="F1776" s="2">
        <f t="shared" si="36"/>
        <v>0</v>
      </c>
      <c r="G1776" s="3" t="str">
        <f>HYPERLINK("http://tmmp-catalog.com.ua/katalog/13/15624/","фото")</f>
        <v>фото</v>
      </c>
      <c r="H1776" s="22"/>
    </row>
    <row r="1777" spans="1:8" ht="15" x14ac:dyDescent="0.2">
      <c r="A1777" s="18">
        <v>2000000004488</v>
      </c>
      <c r="B1777" s="19" t="s">
        <v>3590</v>
      </c>
      <c r="C1777" s="20" t="s">
        <v>3591</v>
      </c>
      <c r="D1777" s="2">
        <v>4.5</v>
      </c>
      <c r="E1777" s="21"/>
      <c r="F1777" s="2">
        <f t="shared" si="36"/>
        <v>0</v>
      </c>
      <c r="G1777" s="3" t="str">
        <f>HYPERLINK("http://tmmp-catalog.com.ua/katalog/13/15629/","фото")</f>
        <v>фото</v>
      </c>
      <c r="H1777" s="22"/>
    </row>
    <row r="1778" spans="1:8" ht="15" x14ac:dyDescent="0.2">
      <c r="A1778" s="18">
        <v>2000000009872</v>
      </c>
      <c r="B1778" s="19" t="s">
        <v>3592</v>
      </c>
      <c r="C1778" s="20" t="s">
        <v>3593</v>
      </c>
      <c r="D1778" s="2">
        <v>6.5</v>
      </c>
      <c r="E1778" s="21"/>
      <c r="F1778" s="2">
        <f t="shared" ref="F1778:F1841" si="37">cena*zakaz</f>
        <v>0</v>
      </c>
      <c r="G1778" s="3" t="str">
        <f>HYPERLINK("http://tmmp-catalog.com.ua/katalog/13/16713/","фото")</f>
        <v>фото</v>
      </c>
      <c r="H1778" s="22"/>
    </row>
    <row r="1779" spans="1:8" ht="15" x14ac:dyDescent="0.2">
      <c r="A1779" s="18"/>
      <c r="B1779" s="19" t="s">
        <v>3594</v>
      </c>
      <c r="C1779" s="20" t="s">
        <v>3595</v>
      </c>
      <c r="D1779" s="2">
        <v>4</v>
      </c>
      <c r="E1779" s="21"/>
      <c r="F1779" s="2">
        <f t="shared" si="37"/>
        <v>0</v>
      </c>
      <c r="G1779" s="3" t="str">
        <f>HYPERLINK("http://tmmp-catalog.com.ua/katalog/37/18313/","фото")</f>
        <v>фото</v>
      </c>
      <c r="H1779" s="22"/>
    </row>
    <row r="1780" spans="1:8" ht="15" x14ac:dyDescent="0.2">
      <c r="A1780" s="18">
        <v>2000000004525</v>
      </c>
      <c r="B1780" s="19" t="s">
        <v>3596</v>
      </c>
      <c r="C1780" s="20" t="s">
        <v>3597</v>
      </c>
      <c r="D1780" s="2">
        <v>17.5</v>
      </c>
      <c r="E1780" s="21"/>
      <c r="F1780" s="2">
        <f t="shared" si="37"/>
        <v>0</v>
      </c>
      <c r="G1780" s="3" t="str">
        <f>HYPERLINK("http://tmmp-catalog.com.ua/katalog/13/15633/","фото")</f>
        <v>фото</v>
      </c>
      <c r="H1780" s="22"/>
    </row>
    <row r="1781" spans="1:8" ht="15" x14ac:dyDescent="0.2">
      <c r="A1781" s="18">
        <v>2000000004532</v>
      </c>
      <c r="B1781" s="19" t="s">
        <v>3598</v>
      </c>
      <c r="C1781" s="20" t="s">
        <v>3599</v>
      </c>
      <c r="D1781" s="2">
        <v>17.5</v>
      </c>
      <c r="E1781" s="21"/>
      <c r="F1781" s="2">
        <f t="shared" si="37"/>
        <v>0</v>
      </c>
      <c r="G1781" s="3" t="str">
        <f>HYPERLINK("http://tmmp-catalog.com.ua/katalog/13/15634/","фото")</f>
        <v>фото</v>
      </c>
      <c r="H1781" s="22"/>
    </row>
    <row r="1782" spans="1:8" ht="15" x14ac:dyDescent="0.2">
      <c r="A1782" s="18">
        <v>2000000004679</v>
      </c>
      <c r="B1782" s="19" t="s">
        <v>3600</v>
      </c>
      <c r="C1782" s="20" t="s">
        <v>3601</v>
      </c>
      <c r="D1782" s="2">
        <v>13.7</v>
      </c>
      <c r="E1782" s="21"/>
      <c r="F1782" s="2">
        <f t="shared" si="37"/>
        <v>0</v>
      </c>
      <c r="G1782" s="3" t="str">
        <f>HYPERLINK("http://tmmp-catalog.com.ua/katalog/13/15648/","фото")</f>
        <v>фото</v>
      </c>
      <c r="H1782" s="22"/>
    </row>
    <row r="1783" spans="1:8" ht="15" x14ac:dyDescent="0.2">
      <c r="A1783" s="18">
        <v>2000000004587</v>
      </c>
      <c r="B1783" s="19" t="s">
        <v>3602</v>
      </c>
      <c r="C1783" s="20" t="s">
        <v>3603</v>
      </c>
      <c r="D1783" s="2">
        <v>13</v>
      </c>
      <c r="E1783" s="21"/>
      <c r="F1783" s="2">
        <f t="shared" si="37"/>
        <v>0</v>
      </c>
      <c r="G1783" s="3" t="str">
        <f>HYPERLINK("http://tmmp-catalog.com.ua/katalog/13/15639/","фото")</f>
        <v>фото</v>
      </c>
      <c r="H1783" s="22"/>
    </row>
    <row r="1784" spans="1:8" ht="15" x14ac:dyDescent="0.2">
      <c r="A1784" s="18">
        <v>2000000004594</v>
      </c>
      <c r="B1784" s="19" t="s">
        <v>3604</v>
      </c>
      <c r="C1784" s="20" t="s">
        <v>3605</v>
      </c>
      <c r="D1784" s="2">
        <v>13</v>
      </c>
      <c r="E1784" s="21"/>
      <c r="F1784" s="2">
        <f t="shared" si="37"/>
        <v>0</v>
      </c>
      <c r="G1784" s="3" t="str">
        <f>HYPERLINK("http://tmmp-catalog.com.ua/katalog/13/15640/","фото")</f>
        <v>фото</v>
      </c>
      <c r="H1784" s="22"/>
    </row>
    <row r="1785" spans="1:8" ht="15" x14ac:dyDescent="0.2">
      <c r="A1785" s="18">
        <v>2000000004600</v>
      </c>
      <c r="B1785" s="19" t="s">
        <v>3606</v>
      </c>
      <c r="C1785" s="20" t="s">
        <v>3607</v>
      </c>
      <c r="D1785" s="2">
        <v>13</v>
      </c>
      <c r="E1785" s="21"/>
      <c r="F1785" s="2">
        <f t="shared" si="37"/>
        <v>0</v>
      </c>
      <c r="G1785" s="3" t="str">
        <f>HYPERLINK("http://tmmp-catalog.com.ua/katalog/13/15641/","фото")</f>
        <v>фото</v>
      </c>
      <c r="H1785" s="22"/>
    </row>
    <row r="1786" spans="1:8" ht="15" x14ac:dyDescent="0.2">
      <c r="A1786" s="18">
        <v>2000000004617</v>
      </c>
      <c r="B1786" s="19" t="s">
        <v>3608</v>
      </c>
      <c r="C1786" s="20" t="s">
        <v>3609</v>
      </c>
      <c r="D1786" s="2">
        <v>13</v>
      </c>
      <c r="E1786" s="21"/>
      <c r="F1786" s="2">
        <f t="shared" si="37"/>
        <v>0</v>
      </c>
      <c r="G1786" s="3" t="str">
        <f>HYPERLINK("http://tmmp-catalog.com.ua/katalog/13/15642/","фото")</f>
        <v>фото</v>
      </c>
      <c r="H1786" s="22"/>
    </row>
    <row r="1787" spans="1:8" ht="15" x14ac:dyDescent="0.2">
      <c r="A1787" s="18">
        <v>2000000004624</v>
      </c>
      <c r="B1787" s="19" t="s">
        <v>3610</v>
      </c>
      <c r="C1787" s="20" t="s">
        <v>3611</v>
      </c>
      <c r="D1787" s="2">
        <v>12</v>
      </c>
      <c r="E1787" s="21"/>
      <c r="F1787" s="2">
        <f t="shared" si="37"/>
        <v>0</v>
      </c>
      <c r="G1787" s="3" t="str">
        <f>HYPERLINK("http://tmmp-catalog.com.ua/katalog/13/15643/","фото")</f>
        <v>фото</v>
      </c>
      <c r="H1787" s="22"/>
    </row>
    <row r="1788" spans="1:8" ht="15" x14ac:dyDescent="0.2">
      <c r="A1788" s="18"/>
      <c r="B1788" s="19" t="s">
        <v>3612</v>
      </c>
      <c r="C1788" s="20" t="s">
        <v>3613</v>
      </c>
      <c r="D1788" s="2">
        <v>12</v>
      </c>
      <c r="E1788" s="21"/>
      <c r="F1788" s="2">
        <f t="shared" si="37"/>
        <v>0</v>
      </c>
      <c r="G1788" s="3" t="str">
        <f>HYPERLINK("http://tmmp-catalog.com.ua/katalog/13/17591/","фото")</f>
        <v>фото</v>
      </c>
      <c r="H1788" s="22"/>
    </row>
    <row r="1789" spans="1:8" ht="15" x14ac:dyDescent="0.2">
      <c r="A1789" s="18"/>
      <c r="B1789" s="19" t="s">
        <v>3614</v>
      </c>
      <c r="C1789" s="20" t="s">
        <v>3615</v>
      </c>
      <c r="D1789" s="2">
        <v>9.4</v>
      </c>
      <c r="E1789" s="21"/>
      <c r="F1789" s="2">
        <f t="shared" si="37"/>
        <v>0</v>
      </c>
      <c r="G1789" s="3" t="str">
        <f>HYPERLINK("http://tmmp-catalog.com.ua/katalog/37/18627/","фото")</f>
        <v>фото</v>
      </c>
      <c r="H1789" s="22"/>
    </row>
    <row r="1790" spans="1:8" ht="15" x14ac:dyDescent="0.2">
      <c r="A1790" s="18"/>
      <c r="B1790" s="19" t="s">
        <v>3616</v>
      </c>
      <c r="C1790" s="20" t="s">
        <v>3617</v>
      </c>
      <c r="D1790" s="2">
        <v>13</v>
      </c>
      <c r="E1790" s="21"/>
      <c r="F1790" s="2">
        <f t="shared" si="37"/>
        <v>0</v>
      </c>
      <c r="G1790" s="3" t="str">
        <f>HYPERLINK("http://tmmp-catalog.com.ua/katalog/13/18182/","фото")</f>
        <v>фото</v>
      </c>
      <c r="H1790" s="22"/>
    </row>
    <row r="1791" spans="1:8" ht="15" x14ac:dyDescent="0.2">
      <c r="A1791" s="18">
        <v>2000000004709</v>
      </c>
      <c r="B1791" s="19" t="s">
        <v>3618</v>
      </c>
      <c r="C1791" s="20" t="s">
        <v>3619</v>
      </c>
      <c r="D1791" s="2">
        <v>8.5</v>
      </c>
      <c r="E1791" s="21"/>
      <c r="F1791" s="2">
        <f t="shared" si="37"/>
        <v>0</v>
      </c>
      <c r="G1791" s="3" t="str">
        <f>HYPERLINK("http://tmmp-catalog.com.ua/katalog/13/15651/","фото")</f>
        <v>фото</v>
      </c>
      <c r="H1791" s="22"/>
    </row>
    <row r="1792" spans="1:8" ht="15" x14ac:dyDescent="0.2">
      <c r="A1792" s="18">
        <v>2000000004716</v>
      </c>
      <c r="B1792" s="19" t="s">
        <v>3620</v>
      </c>
      <c r="C1792" s="20" t="s">
        <v>3621</v>
      </c>
      <c r="D1792" s="2">
        <v>7</v>
      </c>
      <c r="E1792" s="21"/>
      <c r="F1792" s="2">
        <f t="shared" si="37"/>
        <v>0</v>
      </c>
      <c r="G1792" s="3" t="str">
        <f>HYPERLINK("http://tmmp-catalog.com.ua/katalog/13/15652/","фото")</f>
        <v>фото</v>
      </c>
      <c r="H1792" s="22"/>
    </row>
    <row r="1793" spans="1:8" ht="15" x14ac:dyDescent="0.2">
      <c r="A1793" s="18">
        <v>2000000004723</v>
      </c>
      <c r="B1793" s="19" t="s">
        <v>3622</v>
      </c>
      <c r="C1793" s="20" t="s">
        <v>3623</v>
      </c>
      <c r="D1793" s="2">
        <v>7.5</v>
      </c>
      <c r="E1793" s="21"/>
      <c r="F1793" s="2">
        <f t="shared" si="37"/>
        <v>0</v>
      </c>
      <c r="G1793" s="3" t="str">
        <f>HYPERLINK("http://tmmp-catalog.com.ua/katalog/13/15653/","фото")</f>
        <v>фото</v>
      </c>
      <c r="H1793" s="22"/>
    </row>
    <row r="1794" spans="1:8" ht="15" x14ac:dyDescent="0.2">
      <c r="A1794" s="18">
        <v>2000000037677</v>
      </c>
      <c r="B1794" s="19" t="s">
        <v>3624</v>
      </c>
      <c r="C1794" s="20" t="s">
        <v>3625</v>
      </c>
      <c r="D1794" s="2">
        <v>7.5</v>
      </c>
      <c r="E1794" s="21"/>
      <c r="F1794" s="2">
        <f t="shared" si="37"/>
        <v>0</v>
      </c>
      <c r="G1794" s="3" t="str">
        <f>HYPERLINK("http://tmmp-catalog.com.ua/katalog/13/17107/","фото")</f>
        <v>фото</v>
      </c>
      <c r="H1794" s="22"/>
    </row>
    <row r="1795" spans="1:8" ht="15" x14ac:dyDescent="0.2">
      <c r="A1795" s="18">
        <v>2000000004730</v>
      </c>
      <c r="B1795" s="19" t="s">
        <v>3626</v>
      </c>
      <c r="C1795" s="20" t="s">
        <v>3627</v>
      </c>
      <c r="D1795" s="2">
        <v>7.1</v>
      </c>
      <c r="E1795" s="21"/>
      <c r="F1795" s="2">
        <f t="shared" si="37"/>
        <v>0</v>
      </c>
      <c r="G1795" s="3" t="str">
        <f>HYPERLINK("http://tmmp-catalog.com.ua/katalog/13/15654/","фото")</f>
        <v>фото</v>
      </c>
      <c r="H1795" s="22"/>
    </row>
    <row r="1796" spans="1:8" ht="15" x14ac:dyDescent="0.2">
      <c r="A1796" s="18">
        <v>2000000004747</v>
      </c>
      <c r="B1796" s="19" t="s">
        <v>3628</v>
      </c>
      <c r="C1796" s="20" t="s">
        <v>3629</v>
      </c>
      <c r="D1796" s="2">
        <v>6.2</v>
      </c>
      <c r="E1796" s="21"/>
      <c r="F1796" s="2">
        <f t="shared" si="37"/>
        <v>0</v>
      </c>
      <c r="G1796" s="3" t="str">
        <f>HYPERLINK("http://tmmp-catalog.com.ua/katalog/13/15655/","фото")</f>
        <v>фото</v>
      </c>
      <c r="H1796" s="22"/>
    </row>
    <row r="1797" spans="1:8" ht="15" x14ac:dyDescent="0.2">
      <c r="A1797" s="18">
        <v>2000000004754</v>
      </c>
      <c r="B1797" s="19" t="s">
        <v>3630</v>
      </c>
      <c r="C1797" s="20" t="s">
        <v>3631</v>
      </c>
      <c r="D1797" s="2">
        <v>5.5</v>
      </c>
      <c r="E1797" s="21"/>
      <c r="F1797" s="2">
        <f t="shared" si="37"/>
        <v>0</v>
      </c>
      <c r="G1797" s="3" t="str">
        <f>HYPERLINK("http://tmmp-catalog.com.ua/katalog/13/15656/","фото")</f>
        <v>фото</v>
      </c>
      <c r="H1797" s="22"/>
    </row>
    <row r="1798" spans="1:8" ht="15" x14ac:dyDescent="0.2">
      <c r="A1798" s="18"/>
      <c r="B1798" s="19" t="s">
        <v>3632</v>
      </c>
      <c r="C1798" s="20" t="s">
        <v>3633</v>
      </c>
      <c r="D1798" s="2">
        <v>0.3</v>
      </c>
      <c r="E1798" s="21"/>
      <c r="F1798" s="2">
        <f t="shared" si="37"/>
        <v>0</v>
      </c>
      <c r="G1798" s="3" t="str">
        <f>HYPERLINK("http://tmmp-catalog.com.ua/katalog/13/17689/","фото")</f>
        <v>фото</v>
      </c>
      <c r="H1798" s="22"/>
    </row>
    <row r="1799" spans="1:8" ht="15" x14ac:dyDescent="0.2">
      <c r="A1799" s="18">
        <v>2000000004778</v>
      </c>
      <c r="B1799" s="19" t="s">
        <v>3634</v>
      </c>
      <c r="C1799" s="20" t="s">
        <v>3635</v>
      </c>
      <c r="D1799" s="2">
        <v>0.6</v>
      </c>
      <c r="E1799" s="21"/>
      <c r="F1799" s="2">
        <f t="shared" si="37"/>
        <v>0</v>
      </c>
      <c r="G1799" s="3" t="str">
        <f>HYPERLINK("http://tmmp-catalog.com.ua/katalog/13/15658/","фото")</f>
        <v>фото</v>
      </c>
      <c r="H1799" s="22"/>
    </row>
    <row r="1800" spans="1:8" ht="15" x14ac:dyDescent="0.2">
      <c r="A1800" s="18">
        <v>2000000009711</v>
      </c>
      <c r="B1800" s="19" t="s">
        <v>3636</v>
      </c>
      <c r="C1800" s="20" t="s">
        <v>3637</v>
      </c>
      <c r="D1800" s="2">
        <v>0.8</v>
      </c>
      <c r="E1800" s="21"/>
      <c r="F1800" s="2">
        <f t="shared" si="37"/>
        <v>0</v>
      </c>
      <c r="G1800" s="3" t="str">
        <f>HYPERLINK("http://tmmp-catalog.com.ua/katalog/13/16695/","фото")</f>
        <v>фото</v>
      </c>
      <c r="H1800" s="22"/>
    </row>
    <row r="1801" spans="1:8" ht="15" x14ac:dyDescent="0.2">
      <c r="A1801" s="18"/>
      <c r="B1801" s="19" t="s">
        <v>3638</v>
      </c>
      <c r="C1801" s="20" t="s">
        <v>3639</v>
      </c>
      <c r="D1801" s="2">
        <v>0.4</v>
      </c>
      <c r="E1801" s="21"/>
      <c r="F1801" s="2">
        <f t="shared" si="37"/>
        <v>0</v>
      </c>
      <c r="G1801" s="3" t="str">
        <f>HYPERLINK("http://tmmp-catalog.com.ua/katalog/13/17757/","фото")</f>
        <v>фото</v>
      </c>
      <c r="H1801" s="22"/>
    </row>
    <row r="1802" spans="1:8" ht="15" x14ac:dyDescent="0.2">
      <c r="A1802" s="18">
        <v>2000000004792</v>
      </c>
      <c r="B1802" s="19" t="s">
        <v>3640</v>
      </c>
      <c r="C1802" s="20" t="s">
        <v>3641</v>
      </c>
      <c r="D1802" s="2">
        <v>0.6</v>
      </c>
      <c r="E1802" s="21"/>
      <c r="F1802" s="2">
        <f t="shared" si="37"/>
        <v>0</v>
      </c>
      <c r="G1802" s="3" t="str">
        <f>HYPERLINK("http://tmmp-catalog.com.ua/katalog/13/15660/","фото")</f>
        <v>фото</v>
      </c>
      <c r="H1802" s="22"/>
    </row>
    <row r="1803" spans="1:8" ht="15" x14ac:dyDescent="0.2">
      <c r="A1803" s="18">
        <v>2000000004808</v>
      </c>
      <c r="B1803" s="19" t="s">
        <v>3642</v>
      </c>
      <c r="C1803" s="20" t="s">
        <v>3643</v>
      </c>
      <c r="D1803" s="2">
        <v>0.6</v>
      </c>
      <c r="E1803" s="21"/>
      <c r="F1803" s="2">
        <f t="shared" si="37"/>
        <v>0</v>
      </c>
      <c r="G1803" s="3" t="str">
        <f>HYPERLINK("http://tmmp-catalog.com.ua/katalog/13/15661/","фото")</f>
        <v>фото</v>
      </c>
      <c r="H1803" s="22"/>
    </row>
    <row r="1804" spans="1:8" ht="15" x14ac:dyDescent="0.2">
      <c r="A1804" s="18">
        <v>2000000009520</v>
      </c>
      <c r="B1804" s="19" t="s">
        <v>3644</v>
      </c>
      <c r="C1804" s="20" t="s">
        <v>3645</v>
      </c>
      <c r="D1804" s="2">
        <v>0.2</v>
      </c>
      <c r="E1804" s="21"/>
      <c r="F1804" s="2">
        <f t="shared" si="37"/>
        <v>0</v>
      </c>
      <c r="G1804" s="3" t="str">
        <f>HYPERLINK("http://tmmp-catalog.com.ua/katalog/13/16671/","фото")</f>
        <v>фото</v>
      </c>
      <c r="H1804" s="22"/>
    </row>
    <row r="1805" spans="1:8" ht="15" x14ac:dyDescent="0.2">
      <c r="A1805" s="18">
        <v>2000000009919</v>
      </c>
      <c r="B1805" s="19" t="s">
        <v>3646</v>
      </c>
      <c r="C1805" s="20" t="s">
        <v>3647</v>
      </c>
      <c r="D1805" s="2">
        <v>0.6</v>
      </c>
      <c r="E1805" s="21"/>
      <c r="F1805" s="2">
        <f t="shared" si="37"/>
        <v>0</v>
      </c>
      <c r="G1805" s="3" t="str">
        <f>HYPERLINK("http://tmmp-catalog.com.ua/katalog/13/16717/","фото")</f>
        <v>фото</v>
      </c>
      <c r="H1805" s="22"/>
    </row>
    <row r="1806" spans="1:8" ht="15" x14ac:dyDescent="0.2">
      <c r="A1806" s="18">
        <v>2000000004815</v>
      </c>
      <c r="B1806" s="19" t="s">
        <v>3648</v>
      </c>
      <c r="C1806" s="20" t="s">
        <v>3649</v>
      </c>
      <c r="D1806" s="2">
        <v>7</v>
      </c>
      <c r="E1806" s="21"/>
      <c r="F1806" s="2">
        <f t="shared" si="37"/>
        <v>0</v>
      </c>
      <c r="G1806" s="3" t="str">
        <f>HYPERLINK("http://tmmp-catalog.com.ua/katalog/13/15662/","фото")</f>
        <v>фото</v>
      </c>
      <c r="H1806" s="22"/>
    </row>
    <row r="1807" spans="1:8" ht="15" x14ac:dyDescent="0.2">
      <c r="A1807" s="18">
        <v>2000000004822</v>
      </c>
      <c r="B1807" s="19" t="s">
        <v>3650</v>
      </c>
      <c r="C1807" s="20" t="s">
        <v>3651</v>
      </c>
      <c r="D1807" s="2">
        <v>1.2</v>
      </c>
      <c r="E1807" s="21"/>
      <c r="F1807" s="2">
        <f t="shared" si="37"/>
        <v>0</v>
      </c>
      <c r="G1807" s="3" t="str">
        <f>HYPERLINK("http://tmmp-catalog.com.ua/katalog/13/15663/","фото")</f>
        <v>фото</v>
      </c>
      <c r="H1807" s="22"/>
    </row>
    <row r="1808" spans="1:8" ht="15" x14ac:dyDescent="0.2">
      <c r="A1808" s="18">
        <v>2000000004839</v>
      </c>
      <c r="B1808" s="19" t="s">
        <v>3652</v>
      </c>
      <c r="C1808" s="20" t="s">
        <v>3653</v>
      </c>
      <c r="D1808" s="2">
        <v>52</v>
      </c>
      <c r="E1808" s="21"/>
      <c r="F1808" s="2">
        <f t="shared" si="37"/>
        <v>0</v>
      </c>
      <c r="G1808" s="3" t="str">
        <f>HYPERLINK("http://tmmp-catalog.com.ua/katalog/13/15664/","фото")</f>
        <v>фото</v>
      </c>
      <c r="H1808" s="22"/>
    </row>
    <row r="1809" spans="1:8" ht="15" x14ac:dyDescent="0.2">
      <c r="A1809" s="18">
        <v>2000000004860</v>
      </c>
      <c r="B1809" s="19" t="s">
        <v>3654</v>
      </c>
      <c r="C1809" s="20" t="s">
        <v>3655</v>
      </c>
      <c r="D1809" s="2">
        <v>39</v>
      </c>
      <c r="E1809" s="21"/>
      <c r="F1809" s="2">
        <f t="shared" si="37"/>
        <v>0</v>
      </c>
      <c r="G1809" s="3" t="str">
        <f>HYPERLINK("http://tmmp-catalog.com.ua/katalog/13/15667/","фото")</f>
        <v>фото</v>
      </c>
      <c r="H1809" s="22"/>
    </row>
    <row r="1810" spans="1:8" ht="15" x14ac:dyDescent="0.2">
      <c r="A1810" s="18">
        <v>2000000004877</v>
      </c>
      <c r="B1810" s="19" t="s">
        <v>3656</v>
      </c>
      <c r="C1810" s="20" t="s">
        <v>3657</v>
      </c>
      <c r="D1810" s="2">
        <v>39</v>
      </c>
      <c r="E1810" s="21"/>
      <c r="F1810" s="2">
        <f t="shared" si="37"/>
        <v>0</v>
      </c>
      <c r="G1810" s="3" t="str">
        <f>HYPERLINK("http://tmmp-catalog.com.ua/katalog/13/15668/","фото")</f>
        <v>фото</v>
      </c>
      <c r="H1810" s="22"/>
    </row>
    <row r="1811" spans="1:8" ht="15" x14ac:dyDescent="0.2">
      <c r="A1811" s="18">
        <v>2000000004907</v>
      </c>
      <c r="B1811" s="19" t="s">
        <v>3658</v>
      </c>
      <c r="C1811" s="20" t="s">
        <v>3659</v>
      </c>
      <c r="D1811" s="2">
        <v>29</v>
      </c>
      <c r="E1811" s="21"/>
      <c r="F1811" s="2">
        <f t="shared" si="37"/>
        <v>0</v>
      </c>
      <c r="G1811" s="3" t="str">
        <f>HYPERLINK("http://tmmp-catalog.com.ua/katalog/13/15671/","фото")</f>
        <v>фото</v>
      </c>
      <c r="H1811" s="22"/>
    </row>
    <row r="1812" spans="1:8" ht="15" x14ac:dyDescent="0.2">
      <c r="A1812" s="18">
        <v>2000000004914</v>
      </c>
      <c r="B1812" s="19" t="s">
        <v>3660</v>
      </c>
      <c r="C1812" s="20" t="s">
        <v>3661</v>
      </c>
      <c r="D1812" s="2">
        <v>29</v>
      </c>
      <c r="E1812" s="21"/>
      <c r="F1812" s="2">
        <f t="shared" si="37"/>
        <v>0</v>
      </c>
      <c r="G1812" s="3" t="str">
        <f>HYPERLINK("http://tmmp-catalog.com.ua/katalog/13/15672/","фото")</f>
        <v>фото</v>
      </c>
      <c r="H1812" s="22"/>
    </row>
    <row r="1813" spans="1:8" ht="15" x14ac:dyDescent="0.2">
      <c r="A1813" s="18">
        <v>2000000004921</v>
      </c>
      <c r="B1813" s="19" t="s">
        <v>3662</v>
      </c>
      <c r="C1813" s="20" t="s">
        <v>3663</v>
      </c>
      <c r="D1813" s="2">
        <v>12.5</v>
      </c>
      <c r="E1813" s="21"/>
      <c r="F1813" s="2">
        <f t="shared" si="37"/>
        <v>0</v>
      </c>
      <c r="G1813" s="3" t="str">
        <f>HYPERLINK("http://tmmp-catalog.com.ua/katalog/13/15673/","фото")</f>
        <v>фото</v>
      </c>
      <c r="H1813" s="22"/>
    </row>
    <row r="1814" spans="1:8" ht="15" x14ac:dyDescent="0.2">
      <c r="A1814" s="18">
        <v>2000000004938</v>
      </c>
      <c r="B1814" s="19" t="s">
        <v>3664</v>
      </c>
      <c r="C1814" s="20" t="s">
        <v>3665</v>
      </c>
      <c r="D1814" s="2">
        <v>11</v>
      </c>
      <c r="E1814" s="21"/>
      <c r="F1814" s="2">
        <f t="shared" si="37"/>
        <v>0</v>
      </c>
      <c r="G1814" s="3" t="str">
        <f>HYPERLINK("http://tmmp-catalog.com.ua/katalog/13/15674/","фото")</f>
        <v>фото</v>
      </c>
      <c r="H1814" s="22"/>
    </row>
    <row r="1815" spans="1:8" ht="15" x14ac:dyDescent="0.2">
      <c r="A1815" s="18">
        <v>2000000004952</v>
      </c>
      <c r="B1815" s="19" t="s">
        <v>3666</v>
      </c>
      <c r="C1815" s="20" t="s">
        <v>3667</v>
      </c>
      <c r="D1815" s="2">
        <v>14</v>
      </c>
      <c r="E1815" s="21"/>
      <c r="F1815" s="2">
        <f t="shared" si="37"/>
        <v>0</v>
      </c>
      <c r="G1815" s="3" t="str">
        <f>HYPERLINK("http://tmmp-catalog.com.ua/katalog/13/15676/","фото")</f>
        <v>фото</v>
      </c>
      <c r="H1815" s="22"/>
    </row>
    <row r="1816" spans="1:8" ht="15" x14ac:dyDescent="0.2">
      <c r="A1816" s="18">
        <v>2000000004945</v>
      </c>
      <c r="B1816" s="19" t="s">
        <v>3668</v>
      </c>
      <c r="C1816" s="20" t="s">
        <v>3669</v>
      </c>
      <c r="D1816" s="2">
        <v>9.5</v>
      </c>
      <c r="E1816" s="21"/>
      <c r="F1816" s="2">
        <f t="shared" si="37"/>
        <v>0</v>
      </c>
      <c r="G1816" s="3" t="str">
        <f>HYPERLINK("http://tmmp-catalog.com.ua/katalog/13/15675/","фото")</f>
        <v>фото</v>
      </c>
      <c r="H1816" s="22"/>
    </row>
    <row r="1817" spans="1:8" ht="15" x14ac:dyDescent="0.2">
      <c r="A1817" s="18">
        <v>2000000004983</v>
      </c>
      <c r="B1817" s="19" t="s">
        <v>3670</v>
      </c>
      <c r="C1817" s="20" t="s">
        <v>3671</v>
      </c>
      <c r="D1817" s="2">
        <v>4</v>
      </c>
      <c r="E1817" s="21"/>
      <c r="F1817" s="2">
        <f t="shared" si="37"/>
        <v>0</v>
      </c>
      <c r="G1817" s="3" t="str">
        <f>HYPERLINK("http://tmmp-catalog.com.ua/katalog/13/15679/","фото")</f>
        <v>фото</v>
      </c>
      <c r="H1817" s="22"/>
    </row>
    <row r="1818" spans="1:8" ht="15" x14ac:dyDescent="0.2">
      <c r="A1818" s="18">
        <v>2000000005010</v>
      </c>
      <c r="B1818" s="19" t="s">
        <v>3672</v>
      </c>
      <c r="C1818" s="20" t="s">
        <v>3673</v>
      </c>
      <c r="D1818" s="2">
        <v>1</v>
      </c>
      <c r="E1818" s="21"/>
      <c r="F1818" s="2">
        <f t="shared" si="37"/>
        <v>0</v>
      </c>
      <c r="G1818" s="3" t="str">
        <f>HYPERLINK("http://tmmp-catalog.com.ua/katalog/13/15682/","фото")</f>
        <v>фото</v>
      </c>
      <c r="H1818" s="22"/>
    </row>
    <row r="1819" spans="1:8" ht="15" x14ac:dyDescent="0.2">
      <c r="A1819" s="18">
        <v>2000000005027</v>
      </c>
      <c r="B1819" s="19" t="s">
        <v>3674</v>
      </c>
      <c r="C1819" s="20" t="s">
        <v>3675</v>
      </c>
      <c r="D1819" s="2">
        <v>1</v>
      </c>
      <c r="E1819" s="21"/>
      <c r="F1819" s="2">
        <f t="shared" si="37"/>
        <v>0</v>
      </c>
      <c r="G1819" s="3" t="str">
        <f>HYPERLINK("http://tmmp-catalog.com.ua/katalog/13/15683/","фото")</f>
        <v>фото</v>
      </c>
      <c r="H1819" s="22"/>
    </row>
    <row r="1820" spans="1:8" ht="15" x14ac:dyDescent="0.2">
      <c r="A1820" s="18">
        <v>2000000005034</v>
      </c>
      <c r="B1820" s="19" t="s">
        <v>3676</v>
      </c>
      <c r="C1820" s="20" t="s">
        <v>3677</v>
      </c>
      <c r="D1820" s="2">
        <v>1</v>
      </c>
      <c r="E1820" s="21"/>
      <c r="F1820" s="2">
        <f t="shared" si="37"/>
        <v>0</v>
      </c>
      <c r="G1820" s="3" t="str">
        <f>HYPERLINK("http://tmmp-catalog.com.ua/katalog/13/15684/","фото")</f>
        <v>фото</v>
      </c>
      <c r="H1820" s="22"/>
    </row>
    <row r="1821" spans="1:8" ht="15" x14ac:dyDescent="0.2">
      <c r="A1821" s="18"/>
      <c r="B1821" s="19" t="s">
        <v>3678</v>
      </c>
      <c r="C1821" s="20" t="s">
        <v>3679</v>
      </c>
      <c r="D1821" s="2">
        <v>1</v>
      </c>
      <c r="E1821" s="21"/>
      <c r="F1821" s="2">
        <f t="shared" si="37"/>
        <v>0</v>
      </c>
      <c r="G1821" s="3" t="str">
        <f>HYPERLINK("http://tmmp-catalog.com.ua/katalog/37/18330/","фото")</f>
        <v>фото</v>
      </c>
      <c r="H1821" s="22"/>
    </row>
    <row r="1822" spans="1:8" ht="15" x14ac:dyDescent="0.2">
      <c r="A1822" s="18"/>
      <c r="B1822" s="19" t="s">
        <v>3680</v>
      </c>
      <c r="C1822" s="20" t="s">
        <v>3681</v>
      </c>
      <c r="D1822" s="2">
        <v>1</v>
      </c>
      <c r="E1822" s="21"/>
      <c r="F1822" s="2">
        <f t="shared" si="37"/>
        <v>0</v>
      </c>
      <c r="G1822" s="3" t="str">
        <f>HYPERLINK("http://tmmp-catalog.com.ua/katalog/37/18331/","фото")</f>
        <v>фото</v>
      </c>
      <c r="H1822" s="22"/>
    </row>
    <row r="1823" spans="1:8" ht="15" x14ac:dyDescent="0.2">
      <c r="A1823" s="18">
        <v>2000000005058</v>
      </c>
      <c r="B1823" s="19" t="s">
        <v>3682</v>
      </c>
      <c r="C1823" s="20" t="s">
        <v>3683</v>
      </c>
      <c r="D1823" s="2">
        <v>1</v>
      </c>
      <c r="E1823" s="21"/>
      <c r="F1823" s="2">
        <f t="shared" si="37"/>
        <v>0</v>
      </c>
      <c r="G1823" s="3" t="str">
        <f>HYPERLINK("http://tmmp-catalog.com.ua/katalog/13/15686/","фото")</f>
        <v>фото</v>
      </c>
      <c r="H1823" s="22"/>
    </row>
    <row r="1824" spans="1:8" ht="15" x14ac:dyDescent="0.2">
      <c r="A1824" s="18">
        <v>2000000005065</v>
      </c>
      <c r="B1824" s="19" t="s">
        <v>3684</v>
      </c>
      <c r="C1824" s="20" t="s">
        <v>3685</v>
      </c>
      <c r="D1824" s="2">
        <v>1</v>
      </c>
      <c r="E1824" s="21"/>
      <c r="F1824" s="2">
        <f t="shared" si="37"/>
        <v>0</v>
      </c>
      <c r="G1824" s="3" t="str">
        <f>HYPERLINK("http://tmmp-catalog.com.ua/katalog/13/15687/","фото")</f>
        <v>фото</v>
      </c>
      <c r="H1824" s="22"/>
    </row>
    <row r="1825" spans="1:8" ht="15" x14ac:dyDescent="0.2">
      <c r="A1825" s="18">
        <v>2000000005072</v>
      </c>
      <c r="B1825" s="19" t="s">
        <v>3686</v>
      </c>
      <c r="C1825" s="20" t="s">
        <v>3687</v>
      </c>
      <c r="D1825" s="2">
        <v>1</v>
      </c>
      <c r="E1825" s="21"/>
      <c r="F1825" s="2">
        <f t="shared" si="37"/>
        <v>0</v>
      </c>
      <c r="G1825" s="3" t="str">
        <f>HYPERLINK("http://tmmp-catalog.com.ua/katalog/13/15688/","фото")</f>
        <v>фото</v>
      </c>
      <c r="H1825" s="22"/>
    </row>
    <row r="1826" spans="1:8" ht="15" x14ac:dyDescent="0.2">
      <c r="A1826" s="18">
        <v>2000000005089</v>
      </c>
      <c r="B1826" s="19" t="s">
        <v>3688</v>
      </c>
      <c r="C1826" s="20" t="s">
        <v>3689</v>
      </c>
      <c r="D1826" s="2">
        <v>1</v>
      </c>
      <c r="E1826" s="21"/>
      <c r="F1826" s="2">
        <f t="shared" si="37"/>
        <v>0</v>
      </c>
      <c r="G1826" s="3" t="str">
        <f>HYPERLINK("http://tmmp-catalog.com.ua/katalog/13/15689/","фото")</f>
        <v>фото</v>
      </c>
      <c r="H1826" s="22"/>
    </row>
    <row r="1827" spans="1:8" ht="15" x14ac:dyDescent="0.2">
      <c r="A1827" s="18"/>
      <c r="B1827" s="19" t="s">
        <v>3690</v>
      </c>
      <c r="C1827" s="20" t="s">
        <v>3691</v>
      </c>
      <c r="D1827" s="2">
        <v>1</v>
      </c>
      <c r="E1827" s="21"/>
      <c r="F1827" s="2">
        <f t="shared" si="37"/>
        <v>0</v>
      </c>
      <c r="G1827" s="3" t="str">
        <f>HYPERLINK("http://tmmp-catalog.com.ua/katalog/37/18332/","фото")</f>
        <v>фото</v>
      </c>
      <c r="H1827" s="22"/>
    </row>
    <row r="1828" spans="1:8" ht="15" x14ac:dyDescent="0.2">
      <c r="A1828" s="18"/>
      <c r="B1828" s="19" t="s">
        <v>3692</v>
      </c>
      <c r="C1828" s="20" t="s">
        <v>3693</v>
      </c>
      <c r="D1828" s="2">
        <v>0.9</v>
      </c>
      <c r="E1828" s="21"/>
      <c r="F1828" s="2">
        <f t="shared" si="37"/>
        <v>0</v>
      </c>
      <c r="G1828" s="3" t="str">
        <f>HYPERLINK("http://tmmp-catalog.com.ua/katalog/37/18359/","фото")</f>
        <v>фото</v>
      </c>
      <c r="H1828" s="22"/>
    </row>
    <row r="1829" spans="1:8" ht="15" x14ac:dyDescent="0.2">
      <c r="A1829" s="18">
        <v>2000000005355</v>
      </c>
      <c r="B1829" s="19" t="s">
        <v>3694</v>
      </c>
      <c r="C1829" s="20" t="s">
        <v>3695</v>
      </c>
      <c r="D1829" s="2">
        <v>2.5</v>
      </c>
      <c r="E1829" s="21"/>
      <c r="F1829" s="2">
        <f t="shared" si="37"/>
        <v>0</v>
      </c>
      <c r="G1829" s="3" t="str">
        <f>HYPERLINK("http://tmmp-catalog.com.ua/katalog/13/15716/","фото")</f>
        <v>фото</v>
      </c>
      <c r="H1829" s="22"/>
    </row>
    <row r="1830" spans="1:8" ht="15" x14ac:dyDescent="0.2">
      <c r="A1830" s="18">
        <v>2000000005126</v>
      </c>
      <c r="B1830" s="19" t="s">
        <v>3696</v>
      </c>
      <c r="C1830" s="20" t="s">
        <v>3697</v>
      </c>
      <c r="D1830" s="2">
        <v>0.5</v>
      </c>
      <c r="E1830" s="21"/>
      <c r="F1830" s="2">
        <f t="shared" si="37"/>
        <v>0</v>
      </c>
      <c r="G1830" s="3" t="str">
        <f>HYPERLINK("http://tmmp-catalog.com.ua/katalog/13/15693/","фото")</f>
        <v>фото</v>
      </c>
      <c r="H1830" s="22"/>
    </row>
    <row r="1831" spans="1:8" ht="15" x14ac:dyDescent="0.2">
      <c r="A1831" s="18">
        <v>2000000005140</v>
      </c>
      <c r="B1831" s="19" t="s">
        <v>3698</v>
      </c>
      <c r="C1831" s="20" t="s">
        <v>3699</v>
      </c>
      <c r="D1831" s="2">
        <v>0.4</v>
      </c>
      <c r="E1831" s="21"/>
      <c r="F1831" s="2">
        <f t="shared" si="37"/>
        <v>0</v>
      </c>
      <c r="G1831" s="3" t="str">
        <f>HYPERLINK("http://tmmp-catalog.com.ua/katalog/13/15695/","фото")</f>
        <v>фото</v>
      </c>
      <c r="H1831" s="22"/>
    </row>
    <row r="1832" spans="1:8" ht="15" x14ac:dyDescent="0.2">
      <c r="A1832" s="18">
        <v>2000000005133</v>
      </c>
      <c r="B1832" s="19" t="s">
        <v>3700</v>
      </c>
      <c r="C1832" s="20" t="s">
        <v>3701</v>
      </c>
      <c r="D1832" s="2">
        <v>0.4</v>
      </c>
      <c r="E1832" s="21"/>
      <c r="F1832" s="2">
        <f t="shared" si="37"/>
        <v>0</v>
      </c>
      <c r="G1832" s="3" t="str">
        <f>HYPERLINK("http://tmmp-catalog.com.ua/katalog/13/15694/","фото")</f>
        <v>фото</v>
      </c>
      <c r="H1832" s="22"/>
    </row>
    <row r="1833" spans="1:8" ht="15" x14ac:dyDescent="0.2">
      <c r="A1833" s="18">
        <v>2000000005171</v>
      </c>
      <c r="B1833" s="19" t="s">
        <v>3702</v>
      </c>
      <c r="C1833" s="20" t="s">
        <v>3703</v>
      </c>
      <c r="D1833" s="2">
        <v>0.9</v>
      </c>
      <c r="E1833" s="21"/>
      <c r="F1833" s="2">
        <f t="shared" si="37"/>
        <v>0</v>
      </c>
      <c r="G1833" s="3" t="str">
        <f>HYPERLINK("http://tmmp-catalog.com.ua/katalog/13/15698/","фото")</f>
        <v>фото</v>
      </c>
      <c r="H1833" s="22"/>
    </row>
    <row r="1834" spans="1:8" ht="15" x14ac:dyDescent="0.2">
      <c r="A1834" s="18">
        <v>2000000005393</v>
      </c>
      <c r="B1834" s="19" t="s">
        <v>3704</v>
      </c>
      <c r="C1834" s="20" t="s">
        <v>3705</v>
      </c>
      <c r="D1834" s="2">
        <v>0.1</v>
      </c>
      <c r="E1834" s="21"/>
      <c r="F1834" s="2">
        <f t="shared" si="37"/>
        <v>0</v>
      </c>
      <c r="G1834" s="3" t="str">
        <f>HYPERLINK("http://tmmp-catalog.com.ua/katalog/13/15720/","фото")</f>
        <v>фото</v>
      </c>
      <c r="H1834" s="22"/>
    </row>
    <row r="1835" spans="1:8" ht="15" x14ac:dyDescent="0.2">
      <c r="A1835" s="18">
        <v>2000000009834</v>
      </c>
      <c r="B1835" s="19" t="s">
        <v>3706</v>
      </c>
      <c r="C1835" s="20" t="s">
        <v>3707</v>
      </c>
      <c r="D1835" s="2">
        <v>7.5</v>
      </c>
      <c r="E1835" s="21"/>
      <c r="F1835" s="2">
        <f t="shared" si="37"/>
        <v>0</v>
      </c>
      <c r="G1835" s="3" t="str">
        <f>HYPERLINK("http://tmmp-catalog.com.ua/katalog/13/16709/","фото")</f>
        <v>фото</v>
      </c>
      <c r="H1835" s="22"/>
    </row>
    <row r="1836" spans="1:8" ht="15" x14ac:dyDescent="0.2">
      <c r="A1836" s="18">
        <v>2000000005188</v>
      </c>
      <c r="B1836" s="19" t="s">
        <v>3708</v>
      </c>
      <c r="C1836" s="20" t="s">
        <v>3709</v>
      </c>
      <c r="D1836" s="2">
        <v>18.5</v>
      </c>
      <c r="E1836" s="21"/>
      <c r="F1836" s="2">
        <f t="shared" si="37"/>
        <v>0</v>
      </c>
      <c r="G1836" s="3" t="str">
        <f>HYPERLINK("http://tmmp-catalog.com.ua/katalog/13/15699/","фото")</f>
        <v>фото</v>
      </c>
      <c r="H1836" s="22"/>
    </row>
    <row r="1837" spans="1:8" ht="15" x14ac:dyDescent="0.2">
      <c r="A1837" s="18">
        <v>2000000005201</v>
      </c>
      <c r="B1837" s="19" t="s">
        <v>3710</v>
      </c>
      <c r="C1837" s="20" t="s">
        <v>3711</v>
      </c>
      <c r="D1837" s="2">
        <v>3.8</v>
      </c>
      <c r="E1837" s="21"/>
      <c r="F1837" s="2">
        <f t="shared" si="37"/>
        <v>0</v>
      </c>
      <c r="G1837" s="3" t="str">
        <f>HYPERLINK("http://tmmp-catalog.com.ua/katalog/13/15701/","фото")</f>
        <v>фото</v>
      </c>
      <c r="H1837" s="22"/>
    </row>
    <row r="1838" spans="1:8" ht="15" x14ac:dyDescent="0.2">
      <c r="A1838" s="18">
        <v>2000000005409</v>
      </c>
      <c r="B1838" s="19" t="s">
        <v>3712</v>
      </c>
      <c r="C1838" s="20" t="s">
        <v>3713</v>
      </c>
      <c r="D1838" s="2">
        <v>3.5</v>
      </c>
      <c r="E1838" s="21"/>
      <c r="F1838" s="2">
        <f t="shared" si="37"/>
        <v>0</v>
      </c>
      <c r="G1838" s="3" t="str">
        <f>HYPERLINK("http://tmmp-catalog.com.ua/katalog/13/15721/","фото")</f>
        <v>фото</v>
      </c>
      <c r="H1838" s="22"/>
    </row>
    <row r="1839" spans="1:8" ht="15" x14ac:dyDescent="0.2">
      <c r="A1839" s="18">
        <v>2000000003658</v>
      </c>
      <c r="B1839" s="19" t="s">
        <v>3714</v>
      </c>
      <c r="C1839" s="20" t="s">
        <v>3715</v>
      </c>
      <c r="D1839" s="2">
        <v>1.4</v>
      </c>
      <c r="E1839" s="21"/>
      <c r="F1839" s="2">
        <f t="shared" si="37"/>
        <v>0</v>
      </c>
      <c r="G1839" s="3" t="str">
        <f>HYPERLINK("http://tmmp-catalog.com.ua/katalog/13/15546/","фото")</f>
        <v>фото</v>
      </c>
      <c r="H1839" s="22"/>
    </row>
    <row r="1840" spans="1:8" ht="15" x14ac:dyDescent="0.2">
      <c r="A1840" s="18">
        <v>2000000003672</v>
      </c>
      <c r="B1840" s="19" t="s">
        <v>3716</v>
      </c>
      <c r="C1840" s="20" t="s">
        <v>3717</v>
      </c>
      <c r="D1840" s="2">
        <v>2.7</v>
      </c>
      <c r="E1840" s="21"/>
      <c r="F1840" s="2">
        <f t="shared" si="37"/>
        <v>0</v>
      </c>
      <c r="G1840" s="3" t="str">
        <f>HYPERLINK("http://tmmp-catalog.com.ua/katalog/13/15548/","фото")</f>
        <v>фото</v>
      </c>
      <c r="H1840" s="22"/>
    </row>
    <row r="1841" spans="1:8" ht="15" x14ac:dyDescent="0.2">
      <c r="A1841" s="18">
        <v>2000000003696</v>
      </c>
      <c r="B1841" s="19" t="s">
        <v>3718</v>
      </c>
      <c r="C1841" s="20" t="s">
        <v>3719</v>
      </c>
      <c r="D1841" s="2">
        <v>3</v>
      </c>
      <c r="E1841" s="21"/>
      <c r="F1841" s="2">
        <f t="shared" si="37"/>
        <v>0</v>
      </c>
      <c r="G1841" s="3" t="str">
        <f>HYPERLINK("http://tmmp-catalog.com.ua/katalog/13/15550/","фото")</f>
        <v>фото</v>
      </c>
      <c r="H1841" s="22"/>
    </row>
    <row r="1842" spans="1:8" ht="15" x14ac:dyDescent="0.2">
      <c r="A1842" s="18">
        <v>2000000010014</v>
      </c>
      <c r="B1842" s="19" t="s">
        <v>3720</v>
      </c>
      <c r="C1842" s="20" t="s">
        <v>3721</v>
      </c>
      <c r="D1842" s="2">
        <v>1</v>
      </c>
      <c r="E1842" s="21"/>
      <c r="F1842" s="2">
        <f t="shared" ref="F1842:F1905" si="38">cena*zakaz</f>
        <v>0</v>
      </c>
      <c r="G1842" s="3" t="str">
        <f>HYPERLINK("http://tmmp-catalog.com.ua/katalog/13/16727/","фото")</f>
        <v>фото</v>
      </c>
      <c r="H1842" s="22"/>
    </row>
    <row r="1843" spans="1:8" ht="15" x14ac:dyDescent="0.2">
      <c r="A1843" s="18"/>
      <c r="B1843" s="19" t="s">
        <v>3722</v>
      </c>
      <c r="C1843" s="20" t="s">
        <v>3723</v>
      </c>
      <c r="D1843" s="2">
        <v>1.8</v>
      </c>
      <c r="E1843" s="21"/>
      <c r="F1843" s="2">
        <f t="shared" si="38"/>
        <v>0</v>
      </c>
      <c r="G1843" s="3" t="str">
        <f>HYPERLINK("http://tmmp-catalog.com.ua/katalog/13/18776/","фото")</f>
        <v>фото</v>
      </c>
      <c r="H1843" s="22"/>
    </row>
    <row r="1844" spans="1:8" ht="15" x14ac:dyDescent="0.2">
      <c r="A1844" s="18">
        <v>2000000005232</v>
      </c>
      <c r="B1844" s="19" t="s">
        <v>3724</v>
      </c>
      <c r="C1844" s="20" t="s">
        <v>3725</v>
      </c>
      <c r="D1844" s="2">
        <v>1.5</v>
      </c>
      <c r="E1844" s="21"/>
      <c r="F1844" s="2">
        <f t="shared" si="38"/>
        <v>0</v>
      </c>
      <c r="G1844" s="3" t="str">
        <f>HYPERLINK("http://tmmp-catalog.com.ua/katalog/13/15704/","фото")</f>
        <v>фото</v>
      </c>
      <c r="H1844" s="22"/>
    </row>
    <row r="1845" spans="1:8" ht="15" x14ac:dyDescent="0.2">
      <c r="A1845" s="18">
        <v>2000000005249</v>
      </c>
      <c r="B1845" s="19" t="s">
        <v>3726</v>
      </c>
      <c r="C1845" s="20" t="s">
        <v>3727</v>
      </c>
      <c r="D1845" s="2">
        <v>2.5</v>
      </c>
      <c r="E1845" s="21"/>
      <c r="F1845" s="2">
        <f t="shared" si="38"/>
        <v>0</v>
      </c>
      <c r="G1845" s="3" t="str">
        <f>HYPERLINK("http://tmmp-catalog.com.ua/katalog/13/15705/","фото")</f>
        <v>фото</v>
      </c>
      <c r="H1845" s="22"/>
    </row>
    <row r="1846" spans="1:8" ht="15" x14ac:dyDescent="0.2">
      <c r="A1846" s="18">
        <v>2000000005263</v>
      </c>
      <c r="B1846" s="19" t="s">
        <v>3728</v>
      </c>
      <c r="C1846" s="20" t="s">
        <v>3729</v>
      </c>
      <c r="D1846" s="2">
        <v>10</v>
      </c>
      <c r="E1846" s="21"/>
      <c r="F1846" s="2">
        <f t="shared" si="38"/>
        <v>0</v>
      </c>
      <c r="G1846" s="3" t="str">
        <f>HYPERLINK("http://tmmp-catalog.com.ua/katalog/13/15707/","фото")</f>
        <v>фото</v>
      </c>
      <c r="H1846" s="22"/>
    </row>
    <row r="1847" spans="1:8" ht="15" x14ac:dyDescent="0.2">
      <c r="A1847" s="18">
        <v>2000000005287</v>
      </c>
      <c r="B1847" s="19" t="s">
        <v>3730</v>
      </c>
      <c r="C1847" s="20" t="s">
        <v>3731</v>
      </c>
      <c r="D1847" s="2">
        <v>3.5</v>
      </c>
      <c r="E1847" s="21"/>
      <c r="F1847" s="2">
        <f t="shared" si="38"/>
        <v>0</v>
      </c>
      <c r="G1847" s="3" t="str">
        <f>HYPERLINK("http://tmmp-catalog.com.ua/katalog/13/15709/","фото")</f>
        <v>фото</v>
      </c>
      <c r="H1847" s="22"/>
    </row>
    <row r="1848" spans="1:8" ht="15" x14ac:dyDescent="0.2">
      <c r="A1848" s="18">
        <v>2000000005270</v>
      </c>
      <c r="B1848" s="19" t="s">
        <v>3732</v>
      </c>
      <c r="C1848" s="20" t="s">
        <v>3733</v>
      </c>
      <c r="D1848" s="2">
        <v>2.5</v>
      </c>
      <c r="E1848" s="21"/>
      <c r="F1848" s="2">
        <f t="shared" si="38"/>
        <v>0</v>
      </c>
      <c r="G1848" s="3" t="str">
        <f>HYPERLINK("http://tmmp-catalog.com.ua/katalog/13/15708/","фото")</f>
        <v>фото</v>
      </c>
      <c r="H1848" s="22"/>
    </row>
    <row r="1849" spans="1:8" ht="15" x14ac:dyDescent="0.2">
      <c r="A1849" s="18">
        <v>2000000009537</v>
      </c>
      <c r="B1849" s="19" t="s">
        <v>3734</v>
      </c>
      <c r="C1849" s="20" t="s">
        <v>3735</v>
      </c>
      <c r="D1849" s="2">
        <v>2.2000000000000002</v>
      </c>
      <c r="E1849" s="21"/>
      <c r="F1849" s="2">
        <f t="shared" si="38"/>
        <v>0</v>
      </c>
      <c r="G1849" s="3" t="str">
        <f>HYPERLINK("http://tmmp-catalog.com.ua/katalog/13/16675/","фото")</f>
        <v>фото</v>
      </c>
      <c r="H1849" s="22"/>
    </row>
    <row r="1850" spans="1:8" ht="15" x14ac:dyDescent="0.2">
      <c r="A1850" s="18">
        <v>2000000005300</v>
      </c>
      <c r="B1850" s="19" t="s">
        <v>3736</v>
      </c>
      <c r="C1850" s="20" t="s">
        <v>3737</v>
      </c>
      <c r="D1850" s="2">
        <v>4.7</v>
      </c>
      <c r="E1850" s="21"/>
      <c r="F1850" s="2">
        <f t="shared" si="38"/>
        <v>0</v>
      </c>
      <c r="G1850" s="3" t="str">
        <f>HYPERLINK("http://tmmp-catalog.com.ua/katalog/13/15711/","фото")</f>
        <v>фото</v>
      </c>
      <c r="H1850" s="22"/>
    </row>
    <row r="1851" spans="1:8" ht="15" x14ac:dyDescent="0.2">
      <c r="A1851" s="18">
        <v>2000000005331</v>
      </c>
      <c r="B1851" s="19" t="s">
        <v>3738</v>
      </c>
      <c r="C1851" s="20" t="s">
        <v>3739</v>
      </c>
      <c r="D1851" s="2">
        <v>11</v>
      </c>
      <c r="E1851" s="21"/>
      <c r="F1851" s="2">
        <f t="shared" si="38"/>
        <v>0</v>
      </c>
      <c r="G1851" s="3" t="str">
        <f>HYPERLINK("http://tmmp-catalog.com.ua/katalog/13/15714/","фото")</f>
        <v>фото</v>
      </c>
      <c r="H1851" s="22"/>
    </row>
    <row r="1852" spans="1:8" ht="15" x14ac:dyDescent="0.2">
      <c r="A1852" s="18"/>
      <c r="B1852" s="19" t="s">
        <v>3740</v>
      </c>
      <c r="C1852" s="20" t="s">
        <v>3741</v>
      </c>
      <c r="D1852" s="2">
        <v>0.75</v>
      </c>
      <c r="E1852" s="21"/>
      <c r="F1852" s="2">
        <f t="shared" si="38"/>
        <v>0</v>
      </c>
      <c r="G1852" s="3" t="str">
        <f>HYPERLINK("http://tmmp-catalog.com.ua/katalog/37/18152/","фото")</f>
        <v>фото</v>
      </c>
      <c r="H1852" s="22"/>
    </row>
    <row r="1853" spans="1:8" ht="15" x14ac:dyDescent="0.2">
      <c r="A1853" s="18">
        <v>2000000005362</v>
      </c>
      <c r="B1853" s="19" t="s">
        <v>3742</v>
      </c>
      <c r="C1853" s="20" t="s">
        <v>3743</v>
      </c>
      <c r="D1853" s="2">
        <v>0.15</v>
      </c>
      <c r="E1853" s="21"/>
      <c r="F1853" s="2">
        <f t="shared" si="38"/>
        <v>0</v>
      </c>
      <c r="G1853" s="3" t="str">
        <f>HYPERLINK("http://tmmp-catalog.com.ua/katalog/13/15717/","фото")</f>
        <v>фото</v>
      </c>
      <c r="H1853" s="22"/>
    </row>
    <row r="1854" spans="1:8" ht="15" x14ac:dyDescent="0.2">
      <c r="A1854" s="18">
        <v>2000000005379</v>
      </c>
      <c r="B1854" s="19" t="s">
        <v>3744</v>
      </c>
      <c r="C1854" s="20" t="s">
        <v>3745</v>
      </c>
      <c r="D1854" s="2">
        <v>0.15</v>
      </c>
      <c r="E1854" s="21"/>
      <c r="F1854" s="2">
        <f t="shared" si="38"/>
        <v>0</v>
      </c>
      <c r="G1854" s="3" t="str">
        <f>HYPERLINK("http://tmmp-catalog.com.ua/katalog/13/15718/","фото")</f>
        <v>фото</v>
      </c>
      <c r="H1854" s="22"/>
    </row>
    <row r="1855" spans="1:8" ht="15" x14ac:dyDescent="0.2">
      <c r="A1855" s="18">
        <v>2000000005416</v>
      </c>
      <c r="B1855" s="19" t="s">
        <v>3746</v>
      </c>
      <c r="C1855" s="20" t="s">
        <v>3747</v>
      </c>
      <c r="D1855" s="2">
        <v>2.5</v>
      </c>
      <c r="E1855" s="21"/>
      <c r="F1855" s="2">
        <f t="shared" si="38"/>
        <v>0</v>
      </c>
      <c r="G1855" s="3" t="str">
        <f>HYPERLINK("http://tmmp-catalog.com.ua/katalog/13/15722/","фото")</f>
        <v>фото</v>
      </c>
      <c r="H1855" s="22"/>
    </row>
    <row r="1856" spans="1:8" ht="15" x14ac:dyDescent="0.2">
      <c r="A1856" s="18">
        <v>2000000005522</v>
      </c>
      <c r="B1856" s="19" t="s">
        <v>3748</v>
      </c>
      <c r="C1856" s="20" t="s">
        <v>3749</v>
      </c>
      <c r="D1856" s="2">
        <v>0.2</v>
      </c>
      <c r="E1856" s="21"/>
      <c r="F1856" s="2">
        <f t="shared" si="38"/>
        <v>0</v>
      </c>
      <c r="G1856" s="3" t="str">
        <f>HYPERLINK("http://tmmp-catalog.com.ua/katalog/13/15733/","фото")</f>
        <v>фото</v>
      </c>
      <c r="H1856" s="22"/>
    </row>
    <row r="1857" spans="1:8" ht="15" x14ac:dyDescent="0.2">
      <c r="A1857" s="18">
        <v>2000000005546</v>
      </c>
      <c r="B1857" s="19" t="s">
        <v>3750</v>
      </c>
      <c r="C1857" s="20" t="s">
        <v>3751</v>
      </c>
      <c r="D1857" s="2">
        <v>0.4</v>
      </c>
      <c r="E1857" s="21"/>
      <c r="F1857" s="2">
        <f t="shared" si="38"/>
        <v>0</v>
      </c>
      <c r="G1857" s="3" t="str">
        <f>HYPERLINK("http://tmmp-catalog.com.ua/katalog/13/15735/","фото")</f>
        <v>фото</v>
      </c>
      <c r="H1857" s="22"/>
    </row>
    <row r="1858" spans="1:8" ht="15" x14ac:dyDescent="0.2">
      <c r="A1858" s="18">
        <v>2000000005553</v>
      </c>
      <c r="B1858" s="19" t="s">
        <v>3752</v>
      </c>
      <c r="C1858" s="20" t="s">
        <v>3753</v>
      </c>
      <c r="D1858" s="2">
        <v>0.2</v>
      </c>
      <c r="E1858" s="21"/>
      <c r="F1858" s="2">
        <f t="shared" si="38"/>
        <v>0</v>
      </c>
      <c r="G1858" s="3" t="str">
        <f>HYPERLINK("http://tmmp-catalog.com.ua/katalog/13/15736/","фото")</f>
        <v>фото</v>
      </c>
      <c r="H1858" s="22"/>
    </row>
    <row r="1859" spans="1:8" ht="15" x14ac:dyDescent="0.2">
      <c r="A1859" s="18">
        <v>2000000005577</v>
      </c>
      <c r="B1859" s="19" t="s">
        <v>3754</v>
      </c>
      <c r="C1859" s="20" t="s">
        <v>3755</v>
      </c>
      <c r="D1859" s="2">
        <v>4.8</v>
      </c>
      <c r="E1859" s="21"/>
      <c r="F1859" s="2">
        <f t="shared" si="38"/>
        <v>0</v>
      </c>
      <c r="G1859" s="3" t="str">
        <f>HYPERLINK("http://tmmp-catalog.com.ua/katalog/13/15738/","фото")</f>
        <v>фото</v>
      </c>
      <c r="H1859" s="22"/>
    </row>
    <row r="1860" spans="1:8" ht="15" x14ac:dyDescent="0.2">
      <c r="A1860" s="18"/>
      <c r="B1860" s="19" t="s">
        <v>3756</v>
      </c>
      <c r="C1860" s="20" t="s">
        <v>3757</v>
      </c>
      <c r="D1860" s="2">
        <v>4.8</v>
      </c>
      <c r="E1860" s="21"/>
      <c r="F1860" s="2">
        <f t="shared" si="38"/>
        <v>0</v>
      </c>
      <c r="G1860" s="3" t="str">
        <f>HYPERLINK("http://tmmp-catalog.com.ua/katalog/37/18388/","фото")</f>
        <v>фото</v>
      </c>
      <c r="H1860" s="22"/>
    </row>
    <row r="1861" spans="1:8" ht="15" x14ac:dyDescent="0.2">
      <c r="A1861" s="18">
        <v>2000000005584</v>
      </c>
      <c r="B1861" s="19" t="s">
        <v>3758</v>
      </c>
      <c r="C1861" s="20" t="s">
        <v>3759</v>
      </c>
      <c r="D1861" s="2">
        <v>5</v>
      </c>
      <c r="E1861" s="21"/>
      <c r="F1861" s="2">
        <f t="shared" si="38"/>
        <v>0</v>
      </c>
      <c r="G1861" s="3" t="str">
        <f>HYPERLINK("http://tmmp-catalog.com.ua/katalog/13/15739/","фото")</f>
        <v>фото</v>
      </c>
      <c r="H1861" s="22"/>
    </row>
    <row r="1862" spans="1:8" ht="15" x14ac:dyDescent="0.2">
      <c r="A1862" s="18">
        <v>2000000005591</v>
      </c>
      <c r="B1862" s="19" t="s">
        <v>3760</v>
      </c>
      <c r="C1862" s="20" t="s">
        <v>3761</v>
      </c>
      <c r="D1862" s="2">
        <v>5</v>
      </c>
      <c r="E1862" s="21"/>
      <c r="F1862" s="2">
        <f t="shared" si="38"/>
        <v>0</v>
      </c>
      <c r="G1862" s="3" t="str">
        <f>HYPERLINK("http://tmmp-catalog.com.ua/katalog/13/15740/","фото")</f>
        <v>фото</v>
      </c>
      <c r="H1862" s="22"/>
    </row>
    <row r="1863" spans="1:8" ht="15" x14ac:dyDescent="0.2">
      <c r="A1863" s="18">
        <v>2000000005560</v>
      </c>
      <c r="B1863" s="19" t="s">
        <v>3762</v>
      </c>
      <c r="C1863" s="20" t="s">
        <v>3763</v>
      </c>
      <c r="D1863" s="2">
        <v>3</v>
      </c>
      <c r="E1863" s="21"/>
      <c r="F1863" s="2">
        <f t="shared" si="38"/>
        <v>0</v>
      </c>
      <c r="G1863" s="3" t="str">
        <f>HYPERLINK("http://tmmp-catalog.com.ua/katalog/13/15737/","фото")</f>
        <v>фото</v>
      </c>
      <c r="H1863" s="22"/>
    </row>
    <row r="1864" spans="1:8" ht="15" x14ac:dyDescent="0.2">
      <c r="A1864" s="18">
        <v>2000000009698</v>
      </c>
      <c r="B1864" s="19" t="s">
        <v>3764</v>
      </c>
      <c r="C1864" s="20" t="s">
        <v>3765</v>
      </c>
      <c r="D1864" s="2">
        <v>3.6</v>
      </c>
      <c r="E1864" s="21"/>
      <c r="F1864" s="2">
        <f t="shared" si="38"/>
        <v>0</v>
      </c>
      <c r="G1864" s="3" t="str">
        <f>HYPERLINK("http://tmmp-catalog.com.ua/katalog/13/16693/","фото")</f>
        <v>фото</v>
      </c>
      <c r="H1864" s="22"/>
    </row>
    <row r="1865" spans="1:8" ht="15" x14ac:dyDescent="0.2">
      <c r="A1865" s="18">
        <v>2000000005614</v>
      </c>
      <c r="B1865" s="19" t="s">
        <v>3766</v>
      </c>
      <c r="C1865" s="20" t="s">
        <v>3767</v>
      </c>
      <c r="D1865" s="2">
        <v>2.9</v>
      </c>
      <c r="E1865" s="21"/>
      <c r="F1865" s="2">
        <f t="shared" si="38"/>
        <v>0</v>
      </c>
      <c r="G1865" s="3" t="str">
        <f>HYPERLINK("http://tmmp-catalog.com.ua/katalog/13/15742/","фото")</f>
        <v>фото</v>
      </c>
      <c r="H1865" s="22"/>
    </row>
    <row r="1866" spans="1:8" ht="15" x14ac:dyDescent="0.2">
      <c r="A1866" s="18">
        <v>2000000005638</v>
      </c>
      <c r="B1866" s="19" t="s">
        <v>3768</v>
      </c>
      <c r="C1866" s="20" t="s">
        <v>3769</v>
      </c>
      <c r="D1866" s="2">
        <v>2.5</v>
      </c>
      <c r="E1866" s="21"/>
      <c r="F1866" s="2">
        <f t="shared" si="38"/>
        <v>0</v>
      </c>
      <c r="G1866" s="3" t="str">
        <f>HYPERLINK("http://tmmp-catalog.com.ua/katalog/13/15744/","фото")</f>
        <v>фото</v>
      </c>
      <c r="H1866" s="22"/>
    </row>
    <row r="1867" spans="1:8" ht="15" x14ac:dyDescent="0.2">
      <c r="A1867" s="18">
        <v>2000000005645</v>
      </c>
      <c r="B1867" s="19" t="s">
        <v>3770</v>
      </c>
      <c r="C1867" s="20" t="s">
        <v>3771</v>
      </c>
      <c r="D1867" s="2">
        <v>3</v>
      </c>
      <c r="E1867" s="21"/>
      <c r="F1867" s="2">
        <f t="shared" si="38"/>
        <v>0</v>
      </c>
      <c r="G1867" s="3" t="str">
        <f>HYPERLINK("http://tmmp-catalog.com.ua/katalog/13/15745/","фото")</f>
        <v>фото</v>
      </c>
      <c r="H1867" s="22"/>
    </row>
    <row r="1868" spans="1:8" ht="15" x14ac:dyDescent="0.2">
      <c r="A1868" s="18">
        <v>2000000005652</v>
      </c>
      <c r="B1868" s="19" t="s">
        <v>3772</v>
      </c>
      <c r="C1868" s="20" t="s">
        <v>3773</v>
      </c>
      <c r="D1868" s="2">
        <v>3</v>
      </c>
      <c r="E1868" s="21"/>
      <c r="F1868" s="2">
        <f t="shared" si="38"/>
        <v>0</v>
      </c>
      <c r="G1868" s="3" t="str">
        <f>HYPERLINK("http://tmmp-catalog.com.ua/katalog/13/15746/","фото")</f>
        <v>фото</v>
      </c>
      <c r="H1868" s="22"/>
    </row>
    <row r="1869" spans="1:8" ht="15" x14ac:dyDescent="0.2">
      <c r="A1869" s="18">
        <v>2000000005690</v>
      </c>
      <c r="B1869" s="19" t="s">
        <v>3774</v>
      </c>
      <c r="C1869" s="20" t="s">
        <v>3775</v>
      </c>
      <c r="D1869" s="2">
        <v>3</v>
      </c>
      <c r="E1869" s="21"/>
      <c r="F1869" s="2">
        <f t="shared" si="38"/>
        <v>0</v>
      </c>
      <c r="G1869" s="3" t="str">
        <f>HYPERLINK("http://tmmp-catalog.com.ua/katalog/13/15750/","фото")</f>
        <v>фото</v>
      </c>
      <c r="H1869" s="22"/>
    </row>
    <row r="1870" spans="1:8" ht="15" x14ac:dyDescent="0.2">
      <c r="A1870" s="18">
        <v>2000000005706</v>
      </c>
      <c r="B1870" s="19" t="s">
        <v>3776</v>
      </c>
      <c r="C1870" s="20" t="s">
        <v>3777</v>
      </c>
      <c r="D1870" s="2">
        <v>3</v>
      </c>
      <c r="E1870" s="21"/>
      <c r="F1870" s="2">
        <f t="shared" si="38"/>
        <v>0</v>
      </c>
      <c r="G1870" s="3" t="str">
        <f>HYPERLINK("http://tmmp-catalog.com.ua/katalog/13/15751/","фото")</f>
        <v>фото</v>
      </c>
      <c r="H1870" s="22"/>
    </row>
    <row r="1871" spans="1:8" ht="15" x14ac:dyDescent="0.2">
      <c r="A1871" s="18">
        <v>2000000005799</v>
      </c>
      <c r="B1871" s="19" t="s">
        <v>3778</v>
      </c>
      <c r="C1871" s="20" t="s">
        <v>3779</v>
      </c>
      <c r="D1871" s="2">
        <v>0.5</v>
      </c>
      <c r="E1871" s="21"/>
      <c r="F1871" s="2">
        <f t="shared" si="38"/>
        <v>0</v>
      </c>
      <c r="G1871" s="3" t="str">
        <f>HYPERLINK("http://tmmp-catalog.com.ua/katalog/13/15760/","фото")</f>
        <v>фото</v>
      </c>
      <c r="H1871" s="22"/>
    </row>
    <row r="1872" spans="1:8" ht="15" x14ac:dyDescent="0.2">
      <c r="A1872" s="18">
        <v>2000000005805</v>
      </c>
      <c r="B1872" s="19" t="s">
        <v>3780</v>
      </c>
      <c r="C1872" s="20" t="s">
        <v>3781</v>
      </c>
      <c r="D1872" s="2">
        <v>0.3</v>
      </c>
      <c r="E1872" s="21"/>
      <c r="F1872" s="2">
        <f t="shared" si="38"/>
        <v>0</v>
      </c>
      <c r="G1872" s="3" t="str">
        <f>HYPERLINK("http://tmmp-catalog.com.ua/katalog/13/15761/","фото")</f>
        <v>фото</v>
      </c>
      <c r="H1872" s="22"/>
    </row>
    <row r="1873" spans="1:8" ht="15" x14ac:dyDescent="0.2">
      <c r="A1873" s="18">
        <v>2000000005812</v>
      </c>
      <c r="B1873" s="19" t="s">
        <v>3782</v>
      </c>
      <c r="C1873" s="20" t="s">
        <v>3783</v>
      </c>
      <c r="D1873" s="2">
        <v>0.85</v>
      </c>
      <c r="E1873" s="21"/>
      <c r="F1873" s="2">
        <f t="shared" si="38"/>
        <v>0</v>
      </c>
      <c r="G1873" s="3" t="str">
        <f>HYPERLINK("http://tmmp-catalog.com.ua/katalog/13/15762/","фото")</f>
        <v>фото</v>
      </c>
      <c r="H1873" s="22"/>
    </row>
    <row r="1874" spans="1:8" ht="15" x14ac:dyDescent="0.2">
      <c r="A1874" s="18"/>
      <c r="B1874" s="19" t="s">
        <v>3784</v>
      </c>
      <c r="C1874" s="20" t="s">
        <v>3785</v>
      </c>
      <c r="D1874" s="2">
        <v>0.2</v>
      </c>
      <c r="E1874" s="21"/>
      <c r="F1874" s="2">
        <f t="shared" si="38"/>
        <v>0</v>
      </c>
      <c r="G1874" s="3" t="str">
        <f>HYPERLINK("http://tmmp-catalog.com.ua/katalog/37/18391/","фото")</f>
        <v>фото</v>
      </c>
      <c r="H1874" s="22"/>
    </row>
    <row r="1875" spans="1:8" ht="15" x14ac:dyDescent="0.2">
      <c r="A1875" s="18">
        <v>2000000005829</v>
      </c>
      <c r="B1875" s="19" t="s">
        <v>3786</v>
      </c>
      <c r="C1875" s="20" t="s">
        <v>3787</v>
      </c>
      <c r="D1875" s="2">
        <v>0.45</v>
      </c>
      <c r="E1875" s="21"/>
      <c r="F1875" s="2">
        <f t="shared" si="38"/>
        <v>0</v>
      </c>
      <c r="G1875" s="3" t="str">
        <f>HYPERLINK("http://tmmp-catalog.com.ua/katalog/13/15763/","фото")</f>
        <v>фото</v>
      </c>
      <c r="H1875" s="22"/>
    </row>
    <row r="1876" spans="1:8" ht="15" x14ac:dyDescent="0.2">
      <c r="A1876" s="18">
        <v>2000000005836</v>
      </c>
      <c r="B1876" s="19" t="s">
        <v>3788</v>
      </c>
      <c r="C1876" s="20" t="s">
        <v>3789</v>
      </c>
      <c r="D1876" s="2">
        <v>0.35</v>
      </c>
      <c r="E1876" s="21"/>
      <c r="F1876" s="2">
        <f t="shared" si="38"/>
        <v>0</v>
      </c>
      <c r="G1876" s="3" t="str">
        <f>HYPERLINK("http://tmmp-catalog.com.ua/katalog/13/15764/","фото")</f>
        <v>фото</v>
      </c>
      <c r="H1876" s="22"/>
    </row>
    <row r="1877" spans="1:8" ht="15" x14ac:dyDescent="0.2">
      <c r="A1877" s="18">
        <v>2000000005843</v>
      </c>
      <c r="B1877" s="19" t="s">
        <v>3790</v>
      </c>
      <c r="C1877" s="20" t="s">
        <v>3791</v>
      </c>
      <c r="D1877" s="2">
        <v>0.2</v>
      </c>
      <c r="E1877" s="21"/>
      <c r="F1877" s="2">
        <f t="shared" si="38"/>
        <v>0</v>
      </c>
      <c r="G1877" s="3" t="str">
        <f>HYPERLINK("http://tmmp-catalog.com.ua/katalog/13/15765/","фото")</f>
        <v>фото</v>
      </c>
      <c r="H1877" s="22"/>
    </row>
    <row r="1878" spans="1:8" ht="15" x14ac:dyDescent="0.2">
      <c r="A1878" s="18">
        <v>2000000005850</v>
      </c>
      <c r="B1878" s="19" t="s">
        <v>3792</v>
      </c>
      <c r="C1878" s="20" t="s">
        <v>3793</v>
      </c>
      <c r="D1878" s="2">
        <v>0.3</v>
      </c>
      <c r="E1878" s="21"/>
      <c r="F1878" s="2">
        <f t="shared" si="38"/>
        <v>0</v>
      </c>
      <c r="G1878" s="3" t="str">
        <f>HYPERLINK("http://tmmp-catalog.com.ua/katalog/13/15766/","фото")</f>
        <v>фото</v>
      </c>
      <c r="H1878" s="22"/>
    </row>
    <row r="1879" spans="1:8" ht="15" x14ac:dyDescent="0.2">
      <c r="A1879" s="18">
        <v>2000000005867</v>
      </c>
      <c r="B1879" s="19" t="s">
        <v>3794</v>
      </c>
      <c r="C1879" s="20" t="s">
        <v>3795</v>
      </c>
      <c r="D1879" s="2">
        <v>0.3</v>
      </c>
      <c r="E1879" s="21"/>
      <c r="F1879" s="2">
        <f t="shared" si="38"/>
        <v>0</v>
      </c>
      <c r="G1879" s="3" t="str">
        <f>HYPERLINK("http://tmmp-catalog.com.ua/katalog/13/15767/","фото")</f>
        <v>фото</v>
      </c>
      <c r="H1879" s="22"/>
    </row>
    <row r="1880" spans="1:8" ht="15" x14ac:dyDescent="0.2">
      <c r="A1880" s="18">
        <v>2000000005904</v>
      </c>
      <c r="B1880" s="19" t="s">
        <v>3796</v>
      </c>
      <c r="C1880" s="20" t="s">
        <v>3797</v>
      </c>
      <c r="D1880" s="2">
        <v>11</v>
      </c>
      <c r="E1880" s="21"/>
      <c r="F1880" s="2">
        <f t="shared" si="38"/>
        <v>0</v>
      </c>
      <c r="G1880" s="3" t="str">
        <f>HYPERLINK("http://tmmp-catalog.com.ua/katalog/13/15771/","фото")</f>
        <v>фото</v>
      </c>
      <c r="H1880" s="22"/>
    </row>
    <row r="1881" spans="1:8" ht="15" x14ac:dyDescent="0.2">
      <c r="A1881" s="18">
        <v>2000000005928</v>
      </c>
      <c r="B1881" s="19" t="s">
        <v>3798</v>
      </c>
      <c r="C1881" s="20" t="s">
        <v>3799</v>
      </c>
      <c r="D1881" s="2">
        <v>12</v>
      </c>
      <c r="E1881" s="21"/>
      <c r="F1881" s="2">
        <f t="shared" si="38"/>
        <v>0</v>
      </c>
      <c r="G1881" s="3" t="str">
        <f>HYPERLINK("http://tmmp-catalog.com.ua/katalog/13/15773/","фото")</f>
        <v>фото</v>
      </c>
      <c r="H1881" s="22"/>
    </row>
    <row r="1882" spans="1:8" ht="15" x14ac:dyDescent="0.2">
      <c r="A1882" s="18">
        <v>2000000005881</v>
      </c>
      <c r="B1882" s="19" t="s">
        <v>3800</v>
      </c>
      <c r="C1882" s="20" t="s">
        <v>3801</v>
      </c>
      <c r="D1882" s="2">
        <v>9</v>
      </c>
      <c r="E1882" s="21"/>
      <c r="F1882" s="2">
        <f t="shared" si="38"/>
        <v>0</v>
      </c>
      <c r="G1882" s="3" t="str">
        <f>HYPERLINK("http://tmmp-catalog.com.ua/katalog/13/15769/","фото")</f>
        <v>фото</v>
      </c>
      <c r="H1882" s="22"/>
    </row>
    <row r="1883" spans="1:8" ht="15" x14ac:dyDescent="0.2">
      <c r="A1883" s="18">
        <v>2000000005966</v>
      </c>
      <c r="B1883" s="19" t="s">
        <v>3802</v>
      </c>
      <c r="C1883" s="20" t="s">
        <v>3803</v>
      </c>
      <c r="D1883" s="2">
        <v>5.5</v>
      </c>
      <c r="E1883" s="21"/>
      <c r="F1883" s="2">
        <f t="shared" si="38"/>
        <v>0</v>
      </c>
      <c r="G1883" s="3" t="str">
        <f>HYPERLINK("http://tmmp-catalog.com.ua/katalog/13/15777/","фото")</f>
        <v>фото</v>
      </c>
      <c r="H1883" s="22"/>
    </row>
    <row r="1884" spans="1:8" ht="15" x14ac:dyDescent="0.2">
      <c r="A1884" s="18">
        <v>2000000006000</v>
      </c>
      <c r="B1884" s="19" t="s">
        <v>3804</v>
      </c>
      <c r="C1884" s="20" t="s">
        <v>3805</v>
      </c>
      <c r="D1884" s="2">
        <v>3.8</v>
      </c>
      <c r="E1884" s="21"/>
      <c r="F1884" s="2">
        <f t="shared" si="38"/>
        <v>0</v>
      </c>
      <c r="G1884" s="3" t="str">
        <f>HYPERLINK("http://tmmp-catalog.com.ua/katalog/13/15781/","фото")</f>
        <v>фото</v>
      </c>
      <c r="H1884" s="22"/>
    </row>
    <row r="1885" spans="1:8" ht="15" x14ac:dyDescent="0.2">
      <c r="A1885" s="18">
        <v>2000000006017</v>
      </c>
      <c r="B1885" s="19" t="s">
        <v>3806</v>
      </c>
      <c r="C1885" s="20" t="s">
        <v>3807</v>
      </c>
      <c r="D1885" s="2">
        <v>0.35</v>
      </c>
      <c r="E1885" s="21"/>
      <c r="F1885" s="2">
        <f t="shared" si="38"/>
        <v>0</v>
      </c>
      <c r="G1885" s="3" t="str">
        <f>HYPERLINK("http://tmmp-catalog.com.ua/katalog/13/15782/","фото")</f>
        <v>фото</v>
      </c>
      <c r="H1885" s="22"/>
    </row>
    <row r="1886" spans="1:8" ht="15" x14ac:dyDescent="0.2">
      <c r="A1886" s="18"/>
      <c r="B1886" s="19" t="s">
        <v>3808</v>
      </c>
      <c r="C1886" s="20" t="s">
        <v>3809</v>
      </c>
      <c r="D1886" s="2">
        <v>2.5</v>
      </c>
      <c r="E1886" s="21"/>
      <c r="F1886" s="2">
        <f t="shared" si="38"/>
        <v>0</v>
      </c>
      <c r="G1886" s="3" t="str">
        <f>HYPERLINK("http://tmmp-catalog.com.ua/katalog/13/18885/","фото")</f>
        <v>фото</v>
      </c>
      <c r="H1886" s="22"/>
    </row>
    <row r="1887" spans="1:8" ht="15" x14ac:dyDescent="0.2">
      <c r="A1887" s="18">
        <v>2000000008073</v>
      </c>
      <c r="B1887" s="19" t="s">
        <v>3810</v>
      </c>
      <c r="C1887" s="20" t="s">
        <v>3811</v>
      </c>
      <c r="D1887" s="2">
        <v>0.7</v>
      </c>
      <c r="E1887" s="21"/>
      <c r="F1887" s="2">
        <f t="shared" si="38"/>
        <v>0</v>
      </c>
      <c r="G1887" s="3" t="str">
        <f>HYPERLINK("http://tmmp-catalog.com.ua/katalog/13/15995/","фото")</f>
        <v>фото</v>
      </c>
      <c r="H1887" s="22"/>
    </row>
    <row r="1888" spans="1:8" ht="15" x14ac:dyDescent="0.2">
      <c r="A1888" s="18">
        <v>2000000010076</v>
      </c>
      <c r="B1888" s="19" t="s">
        <v>3812</v>
      </c>
      <c r="C1888" s="20" t="s">
        <v>3813</v>
      </c>
      <c r="D1888" s="2">
        <v>5.7</v>
      </c>
      <c r="E1888" s="21"/>
      <c r="F1888" s="2">
        <f t="shared" si="38"/>
        <v>0</v>
      </c>
      <c r="G1888" s="3" t="str">
        <f>HYPERLINK("http://tmmp-catalog.com.ua/katalog/13/16733/","фото")</f>
        <v>фото</v>
      </c>
      <c r="H1888" s="22"/>
    </row>
    <row r="1889" spans="1:8" ht="15" x14ac:dyDescent="0.2">
      <c r="A1889" s="18">
        <v>2000000006062</v>
      </c>
      <c r="B1889" s="19" t="s">
        <v>3814</v>
      </c>
      <c r="C1889" s="20" t="s">
        <v>3815</v>
      </c>
      <c r="D1889" s="2">
        <v>10</v>
      </c>
      <c r="E1889" s="21"/>
      <c r="F1889" s="2">
        <f t="shared" si="38"/>
        <v>0</v>
      </c>
      <c r="G1889" s="3" t="str">
        <f>HYPERLINK("http://tmmp-catalog.com.ua/katalog/13/15791/","фото")</f>
        <v>фото</v>
      </c>
      <c r="H1889" s="22"/>
    </row>
    <row r="1890" spans="1:8" ht="15" x14ac:dyDescent="0.2">
      <c r="A1890" s="18"/>
      <c r="B1890" s="19" t="s">
        <v>3816</v>
      </c>
      <c r="C1890" s="20" t="s">
        <v>3817</v>
      </c>
      <c r="D1890" s="2">
        <v>8</v>
      </c>
      <c r="E1890" s="21"/>
      <c r="F1890" s="2">
        <f t="shared" si="38"/>
        <v>0</v>
      </c>
      <c r="G1890" s="3" t="str">
        <f>HYPERLINK("http://tmmp-catalog.com.ua/katalog/13/18851/","фото")</f>
        <v>фото</v>
      </c>
      <c r="H1890" s="22"/>
    </row>
    <row r="1891" spans="1:8" ht="15" x14ac:dyDescent="0.2">
      <c r="A1891" s="18">
        <v>2000000020969</v>
      </c>
      <c r="B1891" s="19" t="s">
        <v>3818</v>
      </c>
      <c r="C1891" s="20" t="s">
        <v>3819</v>
      </c>
      <c r="D1891" s="2">
        <v>2.5</v>
      </c>
      <c r="E1891" s="21"/>
      <c r="F1891" s="2">
        <f t="shared" si="38"/>
        <v>0</v>
      </c>
      <c r="G1891" s="3" t="str">
        <f>HYPERLINK("http://tmmp-catalog.com.ua/katalog/26/14477/","фото")</f>
        <v>фото</v>
      </c>
      <c r="H1891" s="22"/>
    </row>
    <row r="1892" spans="1:8" ht="15" x14ac:dyDescent="0.2">
      <c r="A1892" s="18">
        <v>2000000006253</v>
      </c>
      <c r="B1892" s="19" t="s">
        <v>3820</v>
      </c>
      <c r="C1892" s="20" t="s">
        <v>3821</v>
      </c>
      <c r="D1892" s="2">
        <v>3.5</v>
      </c>
      <c r="E1892" s="21"/>
      <c r="F1892" s="2">
        <f t="shared" si="38"/>
        <v>0</v>
      </c>
      <c r="G1892" s="3" t="str">
        <f>HYPERLINK("http://tmmp-catalog.com.ua/katalog/13/15811/","фото")</f>
        <v>фото</v>
      </c>
      <c r="H1892" s="22"/>
    </row>
    <row r="1893" spans="1:8" ht="15" x14ac:dyDescent="0.2">
      <c r="A1893" s="18">
        <v>2000000006277</v>
      </c>
      <c r="B1893" s="19" t="s">
        <v>3822</v>
      </c>
      <c r="C1893" s="20" t="s">
        <v>3823</v>
      </c>
      <c r="D1893" s="2">
        <v>1.8</v>
      </c>
      <c r="E1893" s="21"/>
      <c r="F1893" s="2">
        <f t="shared" si="38"/>
        <v>0</v>
      </c>
      <c r="G1893" s="3" t="str">
        <f>HYPERLINK("http://tmmp-catalog.com.ua/katalog/13/15813/","фото")</f>
        <v>фото</v>
      </c>
      <c r="H1893" s="22"/>
    </row>
    <row r="1894" spans="1:8" ht="15" x14ac:dyDescent="0.2">
      <c r="A1894" s="18">
        <v>2000000006284</v>
      </c>
      <c r="B1894" s="19" t="s">
        <v>3824</v>
      </c>
      <c r="C1894" s="20" t="s">
        <v>3825</v>
      </c>
      <c r="D1894" s="2">
        <v>2.7</v>
      </c>
      <c r="E1894" s="21"/>
      <c r="F1894" s="2">
        <f t="shared" si="38"/>
        <v>0</v>
      </c>
      <c r="G1894" s="3" t="str">
        <f>HYPERLINK("http://tmmp-catalog.com.ua/katalog/13/15814/","фото")</f>
        <v>фото</v>
      </c>
      <c r="H1894" s="22"/>
    </row>
    <row r="1895" spans="1:8" ht="15" x14ac:dyDescent="0.2">
      <c r="A1895" s="18">
        <v>2000000006291</v>
      </c>
      <c r="B1895" s="19" t="s">
        <v>3826</v>
      </c>
      <c r="C1895" s="20" t="s">
        <v>3827</v>
      </c>
      <c r="D1895" s="2">
        <v>0.9</v>
      </c>
      <c r="E1895" s="21"/>
      <c r="F1895" s="2">
        <f t="shared" si="38"/>
        <v>0</v>
      </c>
      <c r="G1895" s="3" t="str">
        <f>HYPERLINK("http://tmmp-catalog.com.ua/katalog/13/15815/","фото")</f>
        <v>фото</v>
      </c>
      <c r="H1895" s="22"/>
    </row>
    <row r="1896" spans="1:8" ht="15" x14ac:dyDescent="0.2">
      <c r="A1896" s="18">
        <v>2000000006307</v>
      </c>
      <c r="B1896" s="19" t="s">
        <v>3828</v>
      </c>
      <c r="C1896" s="20" t="s">
        <v>3829</v>
      </c>
      <c r="D1896" s="2">
        <v>1.8</v>
      </c>
      <c r="E1896" s="21"/>
      <c r="F1896" s="2">
        <f t="shared" si="38"/>
        <v>0</v>
      </c>
      <c r="G1896" s="3" t="str">
        <f>HYPERLINK("http://tmmp-catalog.com.ua/katalog/13/15816/","фото")</f>
        <v>фото</v>
      </c>
      <c r="H1896" s="22"/>
    </row>
    <row r="1897" spans="1:8" ht="15" x14ac:dyDescent="0.2">
      <c r="A1897" s="18">
        <v>2000000006338</v>
      </c>
      <c r="B1897" s="19" t="s">
        <v>3830</v>
      </c>
      <c r="C1897" s="20" t="s">
        <v>3831</v>
      </c>
      <c r="D1897" s="2">
        <v>3</v>
      </c>
      <c r="E1897" s="21"/>
      <c r="F1897" s="2">
        <f t="shared" si="38"/>
        <v>0</v>
      </c>
      <c r="G1897" s="3" t="str">
        <f>HYPERLINK("http://tmmp-catalog.com.ua/katalog/13/15819/","фото")</f>
        <v>фото</v>
      </c>
      <c r="H1897" s="22"/>
    </row>
    <row r="1898" spans="1:8" ht="15" x14ac:dyDescent="0.2">
      <c r="A1898" s="18"/>
      <c r="B1898" s="19" t="s">
        <v>3832</v>
      </c>
      <c r="C1898" s="20" t="s">
        <v>3833</v>
      </c>
      <c r="D1898" s="2">
        <v>1.1499999999999999</v>
      </c>
      <c r="E1898" s="21"/>
      <c r="F1898" s="2">
        <f t="shared" si="38"/>
        <v>0</v>
      </c>
      <c r="G1898" s="3" t="str">
        <f>HYPERLINK("http://tmmp-catalog.com.ua/katalog/37/18640/","фото")</f>
        <v>фото</v>
      </c>
      <c r="H1898" s="22"/>
    </row>
    <row r="1899" spans="1:8" ht="15" x14ac:dyDescent="0.2">
      <c r="A1899" s="18">
        <v>2000000006314</v>
      </c>
      <c r="B1899" s="19" t="s">
        <v>3834</v>
      </c>
      <c r="C1899" s="20" t="s">
        <v>3835</v>
      </c>
      <c r="D1899" s="2">
        <v>6.5</v>
      </c>
      <c r="E1899" s="21"/>
      <c r="F1899" s="2">
        <f t="shared" si="38"/>
        <v>0</v>
      </c>
      <c r="G1899" s="3" t="str">
        <f>HYPERLINK("http://tmmp-catalog.com.ua/katalog/13/15817/","фото")</f>
        <v>фото</v>
      </c>
      <c r="H1899" s="22"/>
    </row>
    <row r="1900" spans="1:8" ht="15" x14ac:dyDescent="0.2">
      <c r="A1900" s="18">
        <v>2000000006321</v>
      </c>
      <c r="B1900" s="19" t="s">
        <v>3836</v>
      </c>
      <c r="C1900" s="20" t="s">
        <v>3837</v>
      </c>
      <c r="D1900" s="2">
        <v>1.5</v>
      </c>
      <c r="E1900" s="21"/>
      <c r="F1900" s="2">
        <f t="shared" si="38"/>
        <v>0</v>
      </c>
      <c r="G1900" s="3" t="str">
        <f>HYPERLINK("http://tmmp-catalog.com.ua/katalog/13/15818/","фото")</f>
        <v>фото</v>
      </c>
      <c r="H1900" s="22"/>
    </row>
    <row r="1901" spans="1:8" ht="15" x14ac:dyDescent="0.2">
      <c r="A1901" s="18">
        <v>2000000006352</v>
      </c>
      <c r="B1901" s="19" t="s">
        <v>3838</v>
      </c>
      <c r="C1901" s="20" t="s">
        <v>3839</v>
      </c>
      <c r="D1901" s="2">
        <v>1.65</v>
      </c>
      <c r="E1901" s="21"/>
      <c r="F1901" s="2">
        <f t="shared" si="38"/>
        <v>0</v>
      </c>
      <c r="G1901" s="3" t="str">
        <f>HYPERLINK("http://tmmp-catalog.com.ua/katalog/13/15821/","фото")</f>
        <v>фото</v>
      </c>
      <c r="H1901" s="22"/>
    </row>
    <row r="1902" spans="1:8" ht="15" x14ac:dyDescent="0.2">
      <c r="A1902" s="18">
        <v>2000000006345</v>
      </c>
      <c r="B1902" s="19" t="s">
        <v>3840</v>
      </c>
      <c r="C1902" s="20" t="s">
        <v>3841</v>
      </c>
      <c r="D1902" s="2">
        <v>1.65</v>
      </c>
      <c r="E1902" s="21"/>
      <c r="F1902" s="2">
        <f t="shared" si="38"/>
        <v>0</v>
      </c>
      <c r="G1902" s="3" t="str">
        <f>HYPERLINK("http://tmmp-catalog.com.ua/katalog/13/15820/","фото")</f>
        <v>фото</v>
      </c>
      <c r="H1902" s="22"/>
    </row>
    <row r="1903" spans="1:8" ht="15" x14ac:dyDescent="0.2">
      <c r="A1903" s="18">
        <v>2000000006369</v>
      </c>
      <c r="B1903" s="19" t="s">
        <v>3842</v>
      </c>
      <c r="C1903" s="20" t="s">
        <v>3843</v>
      </c>
      <c r="D1903" s="2">
        <v>9</v>
      </c>
      <c r="E1903" s="21"/>
      <c r="F1903" s="2">
        <f t="shared" si="38"/>
        <v>0</v>
      </c>
      <c r="G1903" s="3" t="str">
        <f>HYPERLINK("http://tmmp-catalog.com.ua/katalog/13/15822/","фото")</f>
        <v>фото</v>
      </c>
      <c r="H1903" s="22"/>
    </row>
    <row r="1904" spans="1:8" ht="15" x14ac:dyDescent="0.2">
      <c r="A1904" s="18">
        <v>2000000006376</v>
      </c>
      <c r="B1904" s="19" t="s">
        <v>3844</v>
      </c>
      <c r="C1904" s="20" t="s">
        <v>3845</v>
      </c>
      <c r="D1904" s="2">
        <v>9</v>
      </c>
      <c r="E1904" s="21"/>
      <c r="F1904" s="2">
        <f t="shared" si="38"/>
        <v>0</v>
      </c>
      <c r="G1904" s="3" t="str">
        <f>HYPERLINK("http://tmmp-catalog.com.ua/katalog/13/15823/","фото")</f>
        <v>фото</v>
      </c>
      <c r="H1904" s="22"/>
    </row>
    <row r="1905" spans="1:8" ht="15" x14ac:dyDescent="0.2">
      <c r="A1905" s="18">
        <v>2000000006420</v>
      </c>
      <c r="B1905" s="19" t="s">
        <v>3846</v>
      </c>
      <c r="C1905" s="20" t="s">
        <v>3847</v>
      </c>
      <c r="D1905" s="2">
        <v>9</v>
      </c>
      <c r="E1905" s="21"/>
      <c r="F1905" s="2">
        <f t="shared" si="38"/>
        <v>0</v>
      </c>
      <c r="G1905" s="3" t="str">
        <f>HYPERLINK("http://tmmp-catalog.com.ua/katalog/13/15828/","фото")</f>
        <v>фото</v>
      </c>
      <c r="H1905" s="22"/>
    </row>
    <row r="1906" spans="1:8" ht="15" x14ac:dyDescent="0.2">
      <c r="A1906" s="18">
        <v>2000000006437</v>
      </c>
      <c r="B1906" s="19" t="s">
        <v>3848</v>
      </c>
      <c r="C1906" s="20" t="s">
        <v>3849</v>
      </c>
      <c r="D1906" s="2">
        <v>9</v>
      </c>
      <c r="E1906" s="21"/>
      <c r="F1906" s="2">
        <f t="shared" ref="F1906:F1969" si="39">cena*zakaz</f>
        <v>0</v>
      </c>
      <c r="G1906" s="3" t="str">
        <f>HYPERLINK("http://tmmp-catalog.com.ua/katalog/13/15829/","фото")</f>
        <v>фото</v>
      </c>
      <c r="H1906" s="22"/>
    </row>
    <row r="1907" spans="1:8" ht="15" x14ac:dyDescent="0.2">
      <c r="A1907" s="18">
        <v>2000000006468</v>
      </c>
      <c r="B1907" s="19" t="s">
        <v>3850</v>
      </c>
      <c r="C1907" s="20" t="s">
        <v>3851</v>
      </c>
      <c r="D1907" s="2">
        <v>9</v>
      </c>
      <c r="E1907" s="21"/>
      <c r="F1907" s="2">
        <f t="shared" si="39"/>
        <v>0</v>
      </c>
      <c r="G1907" s="3" t="str">
        <f>HYPERLINK("http://tmmp-catalog.com.ua/katalog/13/15832/","фото")</f>
        <v>фото</v>
      </c>
      <c r="H1907" s="22"/>
    </row>
    <row r="1908" spans="1:8" ht="15" x14ac:dyDescent="0.2">
      <c r="A1908" s="18">
        <v>2000000006475</v>
      </c>
      <c r="B1908" s="19" t="s">
        <v>3852</v>
      </c>
      <c r="C1908" s="20" t="s">
        <v>3853</v>
      </c>
      <c r="D1908" s="2">
        <v>9</v>
      </c>
      <c r="E1908" s="21"/>
      <c r="F1908" s="2">
        <f t="shared" si="39"/>
        <v>0</v>
      </c>
      <c r="G1908" s="3" t="str">
        <f>HYPERLINK("http://tmmp-catalog.com.ua/katalog/13/15833/","фото")</f>
        <v>фото</v>
      </c>
      <c r="H1908" s="22"/>
    </row>
    <row r="1909" spans="1:8" ht="15" x14ac:dyDescent="0.2">
      <c r="A1909" s="18">
        <v>2000000006505</v>
      </c>
      <c r="B1909" s="19" t="s">
        <v>3854</v>
      </c>
      <c r="C1909" s="20" t="s">
        <v>3855</v>
      </c>
      <c r="D1909" s="2">
        <v>3.7</v>
      </c>
      <c r="E1909" s="21"/>
      <c r="F1909" s="2">
        <f t="shared" si="39"/>
        <v>0</v>
      </c>
      <c r="G1909" s="3" t="str">
        <f>HYPERLINK("http://tmmp-catalog.com.ua/katalog/13/15836/","фото")</f>
        <v>фото</v>
      </c>
      <c r="H1909" s="22"/>
    </row>
    <row r="1910" spans="1:8" ht="15" x14ac:dyDescent="0.2">
      <c r="A1910" s="18">
        <v>2000000006512</v>
      </c>
      <c r="B1910" s="19" t="s">
        <v>3856</v>
      </c>
      <c r="C1910" s="20" t="s">
        <v>3857</v>
      </c>
      <c r="D1910" s="2">
        <v>2</v>
      </c>
      <c r="E1910" s="21"/>
      <c r="F1910" s="2">
        <f t="shared" si="39"/>
        <v>0</v>
      </c>
      <c r="G1910" s="3" t="str">
        <f>HYPERLINK("http://tmmp-catalog.com.ua/katalog/13/15837/","фото")</f>
        <v>фото</v>
      </c>
      <c r="H1910" s="22"/>
    </row>
    <row r="1911" spans="1:8" ht="15" x14ac:dyDescent="0.2">
      <c r="A1911" s="18">
        <v>2000000006529</v>
      </c>
      <c r="B1911" s="19" t="s">
        <v>3858</v>
      </c>
      <c r="C1911" s="20" t="s">
        <v>3859</v>
      </c>
      <c r="D1911" s="2">
        <v>2</v>
      </c>
      <c r="E1911" s="21"/>
      <c r="F1911" s="2">
        <f t="shared" si="39"/>
        <v>0</v>
      </c>
      <c r="G1911" s="3" t="str">
        <f>HYPERLINK("http://tmmp-catalog.com.ua/katalog/13/15838/","фото")</f>
        <v>фото</v>
      </c>
      <c r="H1911" s="22"/>
    </row>
    <row r="1912" spans="1:8" ht="15" x14ac:dyDescent="0.2">
      <c r="A1912" s="18">
        <v>2000000006536</v>
      </c>
      <c r="B1912" s="19" t="s">
        <v>3860</v>
      </c>
      <c r="C1912" s="20" t="s">
        <v>3861</v>
      </c>
      <c r="D1912" s="2">
        <v>3.7</v>
      </c>
      <c r="E1912" s="21"/>
      <c r="F1912" s="2">
        <f t="shared" si="39"/>
        <v>0</v>
      </c>
      <c r="G1912" s="3" t="str">
        <f>HYPERLINK("http://tmmp-catalog.com.ua/katalog/13/15839/","фото")</f>
        <v>фото</v>
      </c>
      <c r="H1912" s="22"/>
    </row>
    <row r="1913" spans="1:8" ht="15" x14ac:dyDescent="0.2">
      <c r="A1913" s="18">
        <v>2000000006499</v>
      </c>
      <c r="B1913" s="19" t="s">
        <v>3862</v>
      </c>
      <c r="C1913" s="20" t="s">
        <v>3863</v>
      </c>
      <c r="D1913" s="2">
        <v>2</v>
      </c>
      <c r="E1913" s="21"/>
      <c r="F1913" s="2">
        <f t="shared" si="39"/>
        <v>0</v>
      </c>
      <c r="G1913" s="3" t="str">
        <f>HYPERLINK("http://tmmp-catalog.com.ua/katalog/13/15835/","фото")</f>
        <v>фото</v>
      </c>
      <c r="H1913" s="22"/>
    </row>
    <row r="1914" spans="1:8" ht="15" x14ac:dyDescent="0.2">
      <c r="A1914" s="18"/>
      <c r="B1914" s="19" t="s">
        <v>3864</v>
      </c>
      <c r="C1914" s="20" t="s">
        <v>3865</v>
      </c>
      <c r="D1914" s="2">
        <v>3.7</v>
      </c>
      <c r="E1914" s="21"/>
      <c r="F1914" s="2">
        <f t="shared" si="39"/>
        <v>0</v>
      </c>
      <c r="G1914" s="3" t="str">
        <f>HYPERLINK("http://tmmp-catalog.com.ua/katalog/13/18721/","фото")</f>
        <v>фото</v>
      </c>
      <c r="H1914" s="22"/>
    </row>
    <row r="1915" spans="1:8" ht="15" x14ac:dyDescent="0.2">
      <c r="A1915" s="18">
        <v>2000000006574</v>
      </c>
      <c r="B1915" s="19" t="s">
        <v>3866</v>
      </c>
      <c r="C1915" s="20" t="s">
        <v>3867</v>
      </c>
      <c r="D1915" s="2">
        <v>6</v>
      </c>
      <c r="E1915" s="21"/>
      <c r="F1915" s="2">
        <f t="shared" si="39"/>
        <v>0</v>
      </c>
      <c r="G1915" s="3" t="str">
        <f>HYPERLINK("http://tmmp-catalog.com.ua/katalog/13/15843/","фото")</f>
        <v>фото</v>
      </c>
      <c r="H1915" s="22"/>
    </row>
    <row r="1916" spans="1:8" ht="15" x14ac:dyDescent="0.2">
      <c r="A1916" s="18">
        <v>2000000006581</v>
      </c>
      <c r="B1916" s="19" t="s">
        <v>3868</v>
      </c>
      <c r="C1916" s="20" t="s">
        <v>3869</v>
      </c>
      <c r="D1916" s="2">
        <v>6</v>
      </c>
      <c r="E1916" s="21"/>
      <c r="F1916" s="2">
        <f t="shared" si="39"/>
        <v>0</v>
      </c>
      <c r="G1916" s="3" t="str">
        <f>HYPERLINK("http://tmmp-catalog.com.ua/katalog/13/15844/","фото")</f>
        <v>фото</v>
      </c>
      <c r="H1916" s="22"/>
    </row>
    <row r="1917" spans="1:8" ht="15" x14ac:dyDescent="0.2">
      <c r="A1917" s="18">
        <v>2000000006598</v>
      </c>
      <c r="B1917" s="19" t="s">
        <v>3870</v>
      </c>
      <c r="C1917" s="20" t="s">
        <v>3871</v>
      </c>
      <c r="D1917" s="2">
        <v>6</v>
      </c>
      <c r="E1917" s="21"/>
      <c r="F1917" s="2">
        <f t="shared" si="39"/>
        <v>0</v>
      </c>
      <c r="G1917" s="3" t="str">
        <f>HYPERLINK("http://tmmp-catalog.com.ua/katalog/13/15845/","фото")</f>
        <v>фото</v>
      </c>
      <c r="H1917" s="22"/>
    </row>
    <row r="1918" spans="1:8" ht="15" x14ac:dyDescent="0.2">
      <c r="A1918" s="18">
        <v>2000000006543</v>
      </c>
      <c r="B1918" s="19" t="s">
        <v>3872</v>
      </c>
      <c r="C1918" s="20" t="s">
        <v>3873</v>
      </c>
      <c r="D1918" s="2">
        <v>6</v>
      </c>
      <c r="E1918" s="21"/>
      <c r="F1918" s="2">
        <f t="shared" si="39"/>
        <v>0</v>
      </c>
      <c r="G1918" s="3" t="str">
        <f>HYPERLINK("http://tmmp-catalog.com.ua/katalog/13/15840/","фото")</f>
        <v>фото</v>
      </c>
      <c r="H1918" s="22"/>
    </row>
    <row r="1919" spans="1:8" ht="15" x14ac:dyDescent="0.2">
      <c r="A1919" s="18">
        <v>2000000006550</v>
      </c>
      <c r="B1919" s="19" t="s">
        <v>3874</v>
      </c>
      <c r="C1919" s="20" t="s">
        <v>3875</v>
      </c>
      <c r="D1919" s="2">
        <v>6</v>
      </c>
      <c r="E1919" s="21"/>
      <c r="F1919" s="2">
        <f t="shared" si="39"/>
        <v>0</v>
      </c>
      <c r="G1919" s="3" t="str">
        <f>HYPERLINK("http://tmmp-catalog.com.ua/katalog/13/15841/","фото")</f>
        <v>фото</v>
      </c>
      <c r="H1919" s="22"/>
    </row>
    <row r="1920" spans="1:8" ht="15" x14ac:dyDescent="0.2">
      <c r="A1920" s="18">
        <v>2000000006567</v>
      </c>
      <c r="B1920" s="19" t="s">
        <v>3876</v>
      </c>
      <c r="C1920" s="20" t="s">
        <v>3877</v>
      </c>
      <c r="D1920" s="2">
        <v>6</v>
      </c>
      <c r="E1920" s="21"/>
      <c r="F1920" s="2">
        <f t="shared" si="39"/>
        <v>0</v>
      </c>
      <c r="G1920" s="3" t="str">
        <f>HYPERLINK("http://tmmp-catalog.com.ua/katalog/13/15842/","фото")</f>
        <v>фото</v>
      </c>
      <c r="H1920" s="22"/>
    </row>
    <row r="1921" spans="1:8" ht="15" x14ac:dyDescent="0.2">
      <c r="A1921" s="18">
        <v>2000000006604</v>
      </c>
      <c r="B1921" s="19" t="s">
        <v>3878</v>
      </c>
      <c r="C1921" s="20" t="s">
        <v>3879</v>
      </c>
      <c r="D1921" s="2">
        <v>6</v>
      </c>
      <c r="E1921" s="21"/>
      <c r="F1921" s="2">
        <f t="shared" si="39"/>
        <v>0</v>
      </c>
      <c r="G1921" s="3" t="str">
        <f>HYPERLINK("http://tmmp-catalog.com.ua/katalog/13/15846/","фото")</f>
        <v>фото</v>
      </c>
      <c r="H1921" s="22"/>
    </row>
    <row r="1922" spans="1:8" ht="15" x14ac:dyDescent="0.2">
      <c r="A1922" s="18">
        <v>2000000006611</v>
      </c>
      <c r="B1922" s="19" t="s">
        <v>3880</v>
      </c>
      <c r="C1922" s="20" t="s">
        <v>3881</v>
      </c>
      <c r="D1922" s="2">
        <v>6</v>
      </c>
      <c r="E1922" s="21"/>
      <c r="F1922" s="2">
        <f t="shared" si="39"/>
        <v>0</v>
      </c>
      <c r="G1922" s="3" t="str">
        <f>HYPERLINK("http://tmmp-catalog.com.ua/katalog/13/15847/","фото")</f>
        <v>фото</v>
      </c>
      <c r="H1922" s="22"/>
    </row>
    <row r="1923" spans="1:8" ht="15" x14ac:dyDescent="0.2">
      <c r="A1923" s="18">
        <v>2000000006628</v>
      </c>
      <c r="B1923" s="19" t="s">
        <v>3882</v>
      </c>
      <c r="C1923" s="20" t="s">
        <v>3883</v>
      </c>
      <c r="D1923" s="2">
        <v>6</v>
      </c>
      <c r="E1923" s="21"/>
      <c r="F1923" s="2">
        <f t="shared" si="39"/>
        <v>0</v>
      </c>
      <c r="G1923" s="3" t="str">
        <f>HYPERLINK("http://tmmp-catalog.com.ua/katalog/13/15848/","фото")</f>
        <v>фото</v>
      </c>
      <c r="H1923" s="22"/>
    </row>
    <row r="1924" spans="1:8" ht="15" x14ac:dyDescent="0.2">
      <c r="A1924" s="18">
        <v>2000000006659</v>
      </c>
      <c r="B1924" s="19" t="s">
        <v>3884</v>
      </c>
      <c r="C1924" s="20" t="s">
        <v>3885</v>
      </c>
      <c r="D1924" s="2">
        <v>15</v>
      </c>
      <c r="E1924" s="21"/>
      <c r="F1924" s="2">
        <f t="shared" si="39"/>
        <v>0</v>
      </c>
      <c r="G1924" s="3" t="str">
        <f>HYPERLINK("http://tmmp-catalog.com.ua/katalog/13/15851/","фото")</f>
        <v>фото</v>
      </c>
      <c r="H1924" s="22"/>
    </row>
    <row r="1925" spans="1:8" ht="15" x14ac:dyDescent="0.2">
      <c r="A1925" s="18">
        <v>2000000006666</v>
      </c>
      <c r="B1925" s="19" t="s">
        <v>3886</v>
      </c>
      <c r="C1925" s="20" t="s">
        <v>3887</v>
      </c>
      <c r="D1925" s="2">
        <v>15</v>
      </c>
      <c r="E1925" s="21"/>
      <c r="F1925" s="2">
        <f t="shared" si="39"/>
        <v>0</v>
      </c>
      <c r="G1925" s="3" t="str">
        <f>HYPERLINK("http://tmmp-catalog.com.ua/katalog/13/15852/","фото")</f>
        <v>фото</v>
      </c>
      <c r="H1925" s="22"/>
    </row>
    <row r="1926" spans="1:8" ht="15" x14ac:dyDescent="0.2">
      <c r="A1926" s="18">
        <v>2000000006673</v>
      </c>
      <c r="B1926" s="19" t="s">
        <v>3888</v>
      </c>
      <c r="C1926" s="20" t="s">
        <v>3889</v>
      </c>
      <c r="D1926" s="2">
        <v>15</v>
      </c>
      <c r="E1926" s="21"/>
      <c r="F1926" s="2">
        <f t="shared" si="39"/>
        <v>0</v>
      </c>
      <c r="G1926" s="3" t="str">
        <f>HYPERLINK("http://tmmp-catalog.com.ua/katalog/13/15853/","фото")</f>
        <v>фото</v>
      </c>
      <c r="H1926" s="22"/>
    </row>
    <row r="1927" spans="1:8" ht="15" x14ac:dyDescent="0.2">
      <c r="A1927" s="18">
        <v>2000000006697</v>
      </c>
      <c r="B1927" s="19" t="s">
        <v>3890</v>
      </c>
      <c r="C1927" s="20" t="s">
        <v>3891</v>
      </c>
      <c r="D1927" s="2">
        <v>15</v>
      </c>
      <c r="E1927" s="21"/>
      <c r="F1927" s="2">
        <f t="shared" si="39"/>
        <v>0</v>
      </c>
      <c r="G1927" s="3" t="str">
        <f>HYPERLINK("http://tmmp-catalog.com.ua/katalog/13/15855/","фото")</f>
        <v>фото</v>
      </c>
      <c r="H1927" s="22"/>
    </row>
    <row r="1928" spans="1:8" ht="15" x14ac:dyDescent="0.2">
      <c r="A1928" s="18">
        <v>2000000006703</v>
      </c>
      <c r="B1928" s="19" t="s">
        <v>3892</v>
      </c>
      <c r="C1928" s="20" t="s">
        <v>3893</v>
      </c>
      <c r="D1928" s="2">
        <v>15</v>
      </c>
      <c r="E1928" s="21"/>
      <c r="F1928" s="2">
        <f t="shared" si="39"/>
        <v>0</v>
      </c>
      <c r="G1928" s="3" t="str">
        <f>HYPERLINK("http://tmmp-catalog.com.ua/katalog/13/15856/","фото")</f>
        <v>фото</v>
      </c>
      <c r="H1928" s="22"/>
    </row>
    <row r="1929" spans="1:8" ht="15" x14ac:dyDescent="0.2">
      <c r="A1929" s="18">
        <v>2000000006710</v>
      </c>
      <c r="B1929" s="19" t="s">
        <v>3894</v>
      </c>
      <c r="C1929" s="20" t="s">
        <v>3895</v>
      </c>
      <c r="D1929" s="2">
        <v>15</v>
      </c>
      <c r="E1929" s="21"/>
      <c r="F1929" s="2">
        <f t="shared" si="39"/>
        <v>0</v>
      </c>
      <c r="G1929" s="3" t="str">
        <f>HYPERLINK("http://tmmp-catalog.com.ua/katalog/13/15857/","фото")</f>
        <v>фото</v>
      </c>
      <c r="H1929" s="22"/>
    </row>
    <row r="1930" spans="1:8" ht="15" x14ac:dyDescent="0.2">
      <c r="A1930" s="18">
        <v>2000000006727</v>
      </c>
      <c r="B1930" s="19" t="s">
        <v>3896</v>
      </c>
      <c r="C1930" s="20" t="s">
        <v>3897</v>
      </c>
      <c r="D1930" s="2">
        <v>3.7</v>
      </c>
      <c r="E1930" s="21"/>
      <c r="F1930" s="2">
        <f t="shared" si="39"/>
        <v>0</v>
      </c>
      <c r="G1930" s="3" t="str">
        <f>HYPERLINK("http://tmmp-catalog.com.ua/katalog/13/15858/","фото")</f>
        <v>фото</v>
      </c>
      <c r="H1930" s="22"/>
    </row>
    <row r="1931" spans="1:8" ht="15" x14ac:dyDescent="0.2">
      <c r="A1931" s="18">
        <v>2000000006734</v>
      </c>
      <c r="B1931" s="19" t="s">
        <v>3898</v>
      </c>
      <c r="C1931" s="20" t="s">
        <v>3899</v>
      </c>
      <c r="D1931" s="2">
        <v>3.7</v>
      </c>
      <c r="E1931" s="21"/>
      <c r="F1931" s="2">
        <f t="shared" si="39"/>
        <v>0</v>
      </c>
      <c r="G1931" s="3" t="str">
        <f>HYPERLINK("http://tmmp-catalog.com.ua/katalog/13/15859/","фото")</f>
        <v>фото</v>
      </c>
      <c r="H1931" s="22"/>
    </row>
    <row r="1932" spans="1:8" ht="15" x14ac:dyDescent="0.2">
      <c r="A1932" s="18">
        <v>2000000006741</v>
      </c>
      <c r="B1932" s="19" t="s">
        <v>3900</v>
      </c>
      <c r="C1932" s="20" t="s">
        <v>3901</v>
      </c>
      <c r="D1932" s="2">
        <v>3.7</v>
      </c>
      <c r="E1932" s="21"/>
      <c r="F1932" s="2">
        <f t="shared" si="39"/>
        <v>0</v>
      </c>
      <c r="G1932" s="3" t="str">
        <f>HYPERLINK("http://tmmp-catalog.com.ua/katalog/13/15860/","фото")</f>
        <v>фото</v>
      </c>
      <c r="H1932" s="22"/>
    </row>
    <row r="1933" spans="1:8" ht="15" x14ac:dyDescent="0.2">
      <c r="A1933" s="18">
        <v>2000000006758</v>
      </c>
      <c r="B1933" s="19" t="s">
        <v>3902</v>
      </c>
      <c r="C1933" s="20" t="s">
        <v>3903</v>
      </c>
      <c r="D1933" s="2">
        <v>3.7</v>
      </c>
      <c r="E1933" s="21"/>
      <c r="F1933" s="2">
        <f t="shared" si="39"/>
        <v>0</v>
      </c>
      <c r="G1933" s="3" t="str">
        <f>HYPERLINK("http://tmmp-catalog.com.ua/katalog/13/15861/","фото")</f>
        <v>фото</v>
      </c>
      <c r="H1933" s="22"/>
    </row>
    <row r="1934" spans="1:8" ht="15" x14ac:dyDescent="0.2">
      <c r="A1934" s="18">
        <v>2000000006765</v>
      </c>
      <c r="B1934" s="19" t="s">
        <v>3904</v>
      </c>
      <c r="C1934" s="20" t="s">
        <v>3905</v>
      </c>
      <c r="D1934" s="2">
        <v>3.7</v>
      </c>
      <c r="E1934" s="21"/>
      <c r="F1934" s="2">
        <f t="shared" si="39"/>
        <v>0</v>
      </c>
      <c r="G1934" s="3" t="str">
        <f>HYPERLINK("http://tmmp-catalog.com.ua/katalog/13/15862/","фото")</f>
        <v>фото</v>
      </c>
      <c r="H1934" s="22"/>
    </row>
    <row r="1935" spans="1:8" ht="15" x14ac:dyDescent="0.2">
      <c r="A1935" s="18">
        <v>2000000006826</v>
      </c>
      <c r="B1935" s="19" t="s">
        <v>3906</v>
      </c>
      <c r="C1935" s="20" t="s">
        <v>3907</v>
      </c>
      <c r="D1935" s="2">
        <v>6.6</v>
      </c>
      <c r="E1935" s="21"/>
      <c r="F1935" s="2">
        <f t="shared" si="39"/>
        <v>0</v>
      </c>
      <c r="G1935" s="3" t="str">
        <f>HYPERLINK("http://tmmp-catalog.com.ua/katalog/13/15868/","фото")</f>
        <v>фото</v>
      </c>
      <c r="H1935" s="22"/>
    </row>
    <row r="1936" spans="1:8" ht="15" x14ac:dyDescent="0.2">
      <c r="A1936" s="18">
        <v>2000000006833</v>
      </c>
      <c r="B1936" s="19" t="s">
        <v>3908</v>
      </c>
      <c r="C1936" s="20" t="s">
        <v>3909</v>
      </c>
      <c r="D1936" s="2">
        <v>6.6</v>
      </c>
      <c r="E1936" s="21"/>
      <c r="F1936" s="2">
        <f t="shared" si="39"/>
        <v>0</v>
      </c>
      <c r="G1936" s="3" t="str">
        <f>HYPERLINK("http://tmmp-catalog.com.ua/katalog/13/15869/","фото")</f>
        <v>фото</v>
      </c>
      <c r="H1936" s="22"/>
    </row>
    <row r="1937" spans="1:8" ht="15" x14ac:dyDescent="0.2">
      <c r="A1937" s="18">
        <v>2000000006802</v>
      </c>
      <c r="B1937" s="19" t="s">
        <v>3910</v>
      </c>
      <c r="C1937" s="20" t="s">
        <v>3911</v>
      </c>
      <c r="D1937" s="2">
        <v>6.6</v>
      </c>
      <c r="E1937" s="21"/>
      <c r="F1937" s="2">
        <f t="shared" si="39"/>
        <v>0</v>
      </c>
      <c r="G1937" s="3" t="str">
        <f>HYPERLINK("http://tmmp-catalog.com.ua/katalog/13/15866/","фото")</f>
        <v>фото</v>
      </c>
      <c r="H1937" s="22"/>
    </row>
    <row r="1938" spans="1:8" ht="15" x14ac:dyDescent="0.2">
      <c r="A1938" s="18">
        <v>2000000006819</v>
      </c>
      <c r="B1938" s="19" t="s">
        <v>3912</v>
      </c>
      <c r="C1938" s="20" t="s">
        <v>3913</v>
      </c>
      <c r="D1938" s="2">
        <v>6.6</v>
      </c>
      <c r="E1938" s="21"/>
      <c r="F1938" s="2">
        <f t="shared" si="39"/>
        <v>0</v>
      </c>
      <c r="G1938" s="3" t="str">
        <f>HYPERLINK("http://tmmp-catalog.com.ua/katalog/13/15867/","фото")</f>
        <v>фото</v>
      </c>
      <c r="H1938" s="22"/>
    </row>
    <row r="1939" spans="1:8" ht="15" x14ac:dyDescent="0.2">
      <c r="A1939" s="18">
        <v>2000000006840</v>
      </c>
      <c r="B1939" s="19" t="s">
        <v>3914</v>
      </c>
      <c r="C1939" s="20" t="s">
        <v>3915</v>
      </c>
      <c r="D1939" s="2">
        <v>5.3</v>
      </c>
      <c r="E1939" s="21"/>
      <c r="F1939" s="2">
        <f t="shared" si="39"/>
        <v>0</v>
      </c>
      <c r="G1939" s="3" t="str">
        <f>HYPERLINK("http://tmmp-catalog.com.ua/katalog/13/15870/","фото")</f>
        <v>фото</v>
      </c>
      <c r="H1939" s="22"/>
    </row>
    <row r="1940" spans="1:8" ht="15" x14ac:dyDescent="0.2">
      <c r="A1940" s="18">
        <v>2000000006857</v>
      </c>
      <c r="B1940" s="19" t="s">
        <v>3916</v>
      </c>
      <c r="C1940" s="20" t="s">
        <v>3917</v>
      </c>
      <c r="D1940" s="2">
        <v>5.3</v>
      </c>
      <c r="E1940" s="21"/>
      <c r="F1940" s="2">
        <f t="shared" si="39"/>
        <v>0</v>
      </c>
      <c r="G1940" s="3" t="str">
        <f>HYPERLINK("http://tmmp-catalog.com.ua/katalog/13/15871/","фото")</f>
        <v>фото</v>
      </c>
      <c r="H1940" s="22"/>
    </row>
    <row r="1941" spans="1:8" ht="15" x14ac:dyDescent="0.2">
      <c r="A1941" s="18">
        <v>2000000006864</v>
      </c>
      <c r="B1941" s="19" t="s">
        <v>3918</v>
      </c>
      <c r="C1941" s="20" t="s">
        <v>3919</v>
      </c>
      <c r="D1941" s="2">
        <v>5.3</v>
      </c>
      <c r="E1941" s="21"/>
      <c r="F1941" s="2">
        <f t="shared" si="39"/>
        <v>0</v>
      </c>
      <c r="G1941" s="3" t="str">
        <f>HYPERLINK("http://tmmp-catalog.com.ua/katalog/13/15872/","фото")</f>
        <v>фото</v>
      </c>
      <c r="H1941" s="22"/>
    </row>
    <row r="1942" spans="1:8" ht="15" x14ac:dyDescent="0.2">
      <c r="A1942" s="18">
        <v>2000000006895</v>
      </c>
      <c r="B1942" s="19" t="s">
        <v>3920</v>
      </c>
      <c r="C1942" s="20" t="s">
        <v>3921</v>
      </c>
      <c r="D1942" s="2">
        <v>11</v>
      </c>
      <c r="E1942" s="21"/>
      <c r="F1942" s="2">
        <f t="shared" si="39"/>
        <v>0</v>
      </c>
      <c r="G1942" s="3" t="str">
        <f>HYPERLINK("http://tmmp-catalog.com.ua/katalog/13/15875/","фото")</f>
        <v>фото</v>
      </c>
      <c r="H1942" s="22"/>
    </row>
    <row r="1943" spans="1:8" ht="15" x14ac:dyDescent="0.2">
      <c r="A1943" s="18">
        <v>2000000006901</v>
      </c>
      <c r="B1943" s="19" t="s">
        <v>3922</v>
      </c>
      <c r="C1943" s="20" t="s">
        <v>3923</v>
      </c>
      <c r="D1943" s="2">
        <v>11</v>
      </c>
      <c r="E1943" s="21"/>
      <c r="F1943" s="2">
        <f t="shared" si="39"/>
        <v>0</v>
      </c>
      <c r="G1943" s="3" t="str">
        <f>HYPERLINK("http://tmmp-catalog.com.ua/katalog/13/15876/","фото")</f>
        <v>фото</v>
      </c>
      <c r="H1943" s="22"/>
    </row>
    <row r="1944" spans="1:8" ht="15" x14ac:dyDescent="0.2">
      <c r="A1944" s="18">
        <v>2000000006918</v>
      </c>
      <c r="B1944" s="19" t="s">
        <v>3924</v>
      </c>
      <c r="C1944" s="20" t="s">
        <v>3925</v>
      </c>
      <c r="D1944" s="2">
        <v>11</v>
      </c>
      <c r="E1944" s="21"/>
      <c r="F1944" s="2">
        <f t="shared" si="39"/>
        <v>0</v>
      </c>
      <c r="G1944" s="3" t="str">
        <f>HYPERLINK("http://tmmp-catalog.com.ua/katalog/13/15877/","фото")</f>
        <v>фото</v>
      </c>
      <c r="H1944" s="22"/>
    </row>
    <row r="1945" spans="1:8" ht="15" x14ac:dyDescent="0.2">
      <c r="A1945" s="18">
        <v>2000000006925</v>
      </c>
      <c r="B1945" s="19" t="s">
        <v>3926</v>
      </c>
      <c r="C1945" s="20" t="s">
        <v>3927</v>
      </c>
      <c r="D1945" s="2">
        <v>11</v>
      </c>
      <c r="E1945" s="21"/>
      <c r="F1945" s="2">
        <f t="shared" si="39"/>
        <v>0</v>
      </c>
      <c r="G1945" s="3" t="str">
        <f>HYPERLINK("http://tmmp-catalog.com.ua/katalog/13/15878/","фото")</f>
        <v>фото</v>
      </c>
      <c r="H1945" s="22"/>
    </row>
    <row r="1946" spans="1:8" ht="15" x14ac:dyDescent="0.2">
      <c r="A1946" s="18">
        <v>2000000006949</v>
      </c>
      <c r="B1946" s="19" t="s">
        <v>3928</v>
      </c>
      <c r="C1946" s="20" t="s">
        <v>3929</v>
      </c>
      <c r="D1946" s="2">
        <v>11</v>
      </c>
      <c r="E1946" s="21"/>
      <c r="F1946" s="2">
        <f t="shared" si="39"/>
        <v>0</v>
      </c>
      <c r="G1946" s="3" t="str">
        <f>HYPERLINK("http://tmmp-catalog.com.ua/katalog/13/15880/","фото")</f>
        <v>фото</v>
      </c>
      <c r="H1946" s="22"/>
    </row>
    <row r="1947" spans="1:8" ht="15" x14ac:dyDescent="0.2">
      <c r="A1947" s="18">
        <v>2000000006956</v>
      </c>
      <c r="B1947" s="19" t="s">
        <v>3930</v>
      </c>
      <c r="C1947" s="20" t="s">
        <v>3931</v>
      </c>
      <c r="D1947" s="2">
        <v>11</v>
      </c>
      <c r="E1947" s="21"/>
      <c r="F1947" s="2">
        <f t="shared" si="39"/>
        <v>0</v>
      </c>
      <c r="G1947" s="3" t="str">
        <f>HYPERLINK("http://tmmp-catalog.com.ua/katalog/13/15881/","фото")</f>
        <v>фото</v>
      </c>
      <c r="H1947" s="22"/>
    </row>
    <row r="1948" spans="1:8" ht="15" x14ac:dyDescent="0.2">
      <c r="A1948" s="18">
        <v>2000000006963</v>
      </c>
      <c r="B1948" s="19" t="s">
        <v>3932</v>
      </c>
      <c r="C1948" s="20" t="s">
        <v>3933</v>
      </c>
      <c r="D1948" s="2">
        <v>15</v>
      </c>
      <c r="E1948" s="21"/>
      <c r="F1948" s="2">
        <f t="shared" si="39"/>
        <v>0</v>
      </c>
      <c r="G1948" s="3" t="str">
        <f>HYPERLINK("http://tmmp-catalog.com.ua/katalog/13/15882/","фото")</f>
        <v>фото</v>
      </c>
      <c r="H1948" s="22"/>
    </row>
    <row r="1949" spans="1:8" ht="15" x14ac:dyDescent="0.2">
      <c r="A1949" s="18">
        <v>2000000006970</v>
      </c>
      <c r="B1949" s="19" t="s">
        <v>3934</v>
      </c>
      <c r="C1949" s="20" t="s">
        <v>3935</v>
      </c>
      <c r="D1949" s="2">
        <v>15</v>
      </c>
      <c r="E1949" s="21"/>
      <c r="F1949" s="2">
        <f t="shared" si="39"/>
        <v>0</v>
      </c>
      <c r="G1949" s="3" t="str">
        <f>HYPERLINK("http://tmmp-catalog.com.ua/katalog/13/15883/","фото")</f>
        <v>фото</v>
      </c>
      <c r="H1949" s="22"/>
    </row>
    <row r="1950" spans="1:8" ht="15" x14ac:dyDescent="0.2">
      <c r="A1950" s="18">
        <v>2000000006987</v>
      </c>
      <c r="B1950" s="19" t="s">
        <v>3936</v>
      </c>
      <c r="C1950" s="20" t="s">
        <v>3937</v>
      </c>
      <c r="D1950" s="2">
        <v>15</v>
      </c>
      <c r="E1950" s="21"/>
      <c r="F1950" s="2">
        <f t="shared" si="39"/>
        <v>0</v>
      </c>
      <c r="G1950" s="3" t="str">
        <f>HYPERLINK("http://tmmp-catalog.com.ua/katalog/13/15884/","фото")</f>
        <v>фото</v>
      </c>
      <c r="H1950" s="22"/>
    </row>
    <row r="1951" spans="1:8" ht="15" x14ac:dyDescent="0.2">
      <c r="A1951" s="18">
        <v>2000000006994</v>
      </c>
      <c r="B1951" s="19" t="s">
        <v>3938</v>
      </c>
      <c r="C1951" s="20" t="s">
        <v>3939</v>
      </c>
      <c r="D1951" s="2">
        <v>15</v>
      </c>
      <c r="E1951" s="21"/>
      <c r="F1951" s="2">
        <f t="shared" si="39"/>
        <v>0</v>
      </c>
      <c r="G1951" s="3" t="str">
        <f>HYPERLINK("http://tmmp-catalog.com.ua/katalog/13/15885/","фото")</f>
        <v>фото</v>
      </c>
      <c r="H1951" s="22"/>
    </row>
    <row r="1952" spans="1:8" ht="15" x14ac:dyDescent="0.2">
      <c r="A1952" s="18"/>
      <c r="B1952" s="19" t="s">
        <v>3940</v>
      </c>
      <c r="C1952" s="20" t="s">
        <v>3941</v>
      </c>
      <c r="D1952" s="2">
        <v>15</v>
      </c>
      <c r="E1952" s="21"/>
      <c r="F1952" s="2">
        <f t="shared" si="39"/>
        <v>0</v>
      </c>
      <c r="G1952" s="3" t="str">
        <f>HYPERLINK("http://tmmp-catalog.com.ua/katalog/13/18718/","фото")</f>
        <v>фото</v>
      </c>
      <c r="H1952" s="22"/>
    </row>
    <row r="1953" spans="1:8" ht="15" x14ac:dyDescent="0.2">
      <c r="A1953" s="18"/>
      <c r="B1953" s="19" t="s">
        <v>3942</v>
      </c>
      <c r="C1953" s="20" t="s">
        <v>3943</v>
      </c>
      <c r="D1953" s="2">
        <v>15</v>
      </c>
      <c r="E1953" s="21"/>
      <c r="F1953" s="2">
        <f t="shared" si="39"/>
        <v>0</v>
      </c>
      <c r="G1953" s="3" t="str">
        <f>HYPERLINK("http://tmmp-catalog.com.ua/katalog/13/17957/","фото")</f>
        <v>фото</v>
      </c>
      <c r="H1953" s="22"/>
    </row>
    <row r="1954" spans="1:8" ht="15" x14ac:dyDescent="0.2">
      <c r="A1954" s="18">
        <v>2000000007007</v>
      </c>
      <c r="B1954" s="19" t="s">
        <v>3944</v>
      </c>
      <c r="C1954" s="20" t="s">
        <v>3945</v>
      </c>
      <c r="D1954" s="2">
        <v>15</v>
      </c>
      <c r="E1954" s="21"/>
      <c r="F1954" s="2">
        <f t="shared" si="39"/>
        <v>0</v>
      </c>
      <c r="G1954" s="3" t="str">
        <f>HYPERLINK("http://tmmp-catalog.com.ua/katalog/13/15886/","фото")</f>
        <v>фото</v>
      </c>
      <c r="H1954" s="22"/>
    </row>
    <row r="1955" spans="1:8" ht="15" x14ac:dyDescent="0.2">
      <c r="A1955" s="18">
        <v>2000000007021</v>
      </c>
      <c r="B1955" s="19" t="s">
        <v>3946</v>
      </c>
      <c r="C1955" s="20" t="s">
        <v>3947</v>
      </c>
      <c r="D1955" s="2">
        <v>3.7</v>
      </c>
      <c r="E1955" s="21"/>
      <c r="F1955" s="2">
        <f t="shared" si="39"/>
        <v>0</v>
      </c>
      <c r="G1955" s="3" t="str">
        <f>HYPERLINK("http://tmmp-catalog.com.ua/katalog/13/15888/","фото")</f>
        <v>фото</v>
      </c>
      <c r="H1955" s="22"/>
    </row>
    <row r="1956" spans="1:8" ht="15" x14ac:dyDescent="0.2">
      <c r="A1956" s="18">
        <v>2000000007038</v>
      </c>
      <c r="B1956" s="19" t="s">
        <v>3948</v>
      </c>
      <c r="C1956" s="20" t="s">
        <v>3949</v>
      </c>
      <c r="D1956" s="2">
        <v>3.7</v>
      </c>
      <c r="E1956" s="21"/>
      <c r="F1956" s="2">
        <f t="shared" si="39"/>
        <v>0</v>
      </c>
      <c r="G1956" s="3" t="str">
        <f>HYPERLINK("http://tmmp-catalog.com.ua/katalog/13/15889/","фото")</f>
        <v>фото</v>
      </c>
      <c r="H1956" s="22"/>
    </row>
    <row r="1957" spans="1:8" ht="15" x14ac:dyDescent="0.2">
      <c r="A1957" s="18">
        <v>2000000007045</v>
      </c>
      <c r="B1957" s="19" t="s">
        <v>3950</v>
      </c>
      <c r="C1957" s="20" t="s">
        <v>3951</v>
      </c>
      <c r="D1957" s="2">
        <v>3.7</v>
      </c>
      <c r="E1957" s="21"/>
      <c r="F1957" s="2">
        <f t="shared" si="39"/>
        <v>0</v>
      </c>
      <c r="G1957" s="3" t="str">
        <f>HYPERLINK("http://tmmp-catalog.com.ua/katalog/13/15890/","фото")</f>
        <v>фото</v>
      </c>
      <c r="H1957" s="22"/>
    </row>
    <row r="1958" spans="1:8" ht="15" x14ac:dyDescent="0.2">
      <c r="A1958" s="18">
        <v>2000000007052</v>
      </c>
      <c r="B1958" s="19" t="s">
        <v>3952</v>
      </c>
      <c r="C1958" s="20" t="s">
        <v>3953</v>
      </c>
      <c r="D1958" s="2">
        <v>3.7</v>
      </c>
      <c r="E1958" s="21"/>
      <c r="F1958" s="2">
        <f t="shared" si="39"/>
        <v>0</v>
      </c>
      <c r="G1958" s="3" t="str">
        <f>HYPERLINK("http://tmmp-catalog.com.ua/katalog/13/15891/","фото")</f>
        <v>фото</v>
      </c>
      <c r="H1958" s="22"/>
    </row>
    <row r="1959" spans="1:8" ht="15" x14ac:dyDescent="0.2">
      <c r="A1959" s="18">
        <v>2000000007069</v>
      </c>
      <c r="B1959" s="19" t="s">
        <v>3954</v>
      </c>
      <c r="C1959" s="20" t="s">
        <v>3955</v>
      </c>
      <c r="D1959" s="2">
        <v>3.7</v>
      </c>
      <c r="E1959" s="21"/>
      <c r="F1959" s="2">
        <f t="shared" si="39"/>
        <v>0</v>
      </c>
      <c r="G1959" s="3" t="str">
        <f>HYPERLINK("http://tmmp-catalog.com.ua/katalog/13/15892/","фото")</f>
        <v>фото</v>
      </c>
      <c r="H1959" s="22"/>
    </row>
    <row r="1960" spans="1:8" ht="15" x14ac:dyDescent="0.2">
      <c r="A1960" s="18">
        <v>2000000007076</v>
      </c>
      <c r="B1960" s="19" t="s">
        <v>3956</v>
      </c>
      <c r="C1960" s="20" t="s">
        <v>3957</v>
      </c>
      <c r="D1960" s="2">
        <v>4.0999999999999996</v>
      </c>
      <c r="E1960" s="21"/>
      <c r="F1960" s="2">
        <f t="shared" si="39"/>
        <v>0</v>
      </c>
      <c r="G1960" s="3" t="str">
        <f>HYPERLINK("http://tmmp-catalog.com.ua/katalog/13/15893/","фото")</f>
        <v>фото</v>
      </c>
      <c r="H1960" s="22"/>
    </row>
    <row r="1961" spans="1:8" ht="15" x14ac:dyDescent="0.2">
      <c r="A1961" s="18">
        <v>2000000007083</v>
      </c>
      <c r="B1961" s="19" t="s">
        <v>3958</v>
      </c>
      <c r="C1961" s="20" t="s">
        <v>3959</v>
      </c>
      <c r="D1961" s="2">
        <v>4.0999999999999996</v>
      </c>
      <c r="E1961" s="21"/>
      <c r="F1961" s="2">
        <f t="shared" si="39"/>
        <v>0</v>
      </c>
      <c r="G1961" s="3" t="str">
        <f>HYPERLINK("http://tmmp-catalog.com.ua/katalog/13/15894/","фото")</f>
        <v>фото</v>
      </c>
      <c r="H1961" s="22"/>
    </row>
    <row r="1962" spans="1:8" ht="15" x14ac:dyDescent="0.2">
      <c r="A1962" s="18">
        <v>2000000007090</v>
      </c>
      <c r="B1962" s="19" t="s">
        <v>3960</v>
      </c>
      <c r="C1962" s="20" t="s">
        <v>3961</v>
      </c>
      <c r="D1962" s="2">
        <v>4.0999999999999996</v>
      </c>
      <c r="E1962" s="21"/>
      <c r="F1962" s="2">
        <f t="shared" si="39"/>
        <v>0</v>
      </c>
      <c r="G1962" s="3" t="str">
        <f>HYPERLINK("http://tmmp-catalog.com.ua/katalog/13/15895/","фото")</f>
        <v>фото</v>
      </c>
      <c r="H1962" s="22"/>
    </row>
    <row r="1963" spans="1:8" ht="15" x14ac:dyDescent="0.2">
      <c r="A1963" s="18">
        <v>2000000007106</v>
      </c>
      <c r="B1963" s="19" t="s">
        <v>3962</v>
      </c>
      <c r="C1963" s="20" t="s">
        <v>3963</v>
      </c>
      <c r="D1963" s="2">
        <v>4.0999999999999996</v>
      </c>
      <c r="E1963" s="21"/>
      <c r="F1963" s="2">
        <f t="shared" si="39"/>
        <v>0</v>
      </c>
      <c r="G1963" s="3" t="str">
        <f>HYPERLINK("http://tmmp-catalog.com.ua/katalog/13/15896/","фото")</f>
        <v>фото</v>
      </c>
      <c r="H1963" s="22"/>
    </row>
    <row r="1964" spans="1:8" ht="15" x14ac:dyDescent="0.2">
      <c r="A1964" s="18">
        <v>2000000007113</v>
      </c>
      <c r="B1964" s="19" t="s">
        <v>3964</v>
      </c>
      <c r="C1964" s="20" t="s">
        <v>3965</v>
      </c>
      <c r="D1964" s="2">
        <v>4.0999999999999996</v>
      </c>
      <c r="E1964" s="21"/>
      <c r="F1964" s="2">
        <f t="shared" si="39"/>
        <v>0</v>
      </c>
      <c r="G1964" s="3" t="str">
        <f>HYPERLINK("http://tmmp-catalog.com.ua/katalog/13/15897/","фото")</f>
        <v>фото</v>
      </c>
      <c r="H1964" s="22"/>
    </row>
    <row r="1965" spans="1:8" ht="15" x14ac:dyDescent="0.2">
      <c r="A1965" s="18">
        <v>2000000007120</v>
      </c>
      <c r="B1965" s="19" t="s">
        <v>3966</v>
      </c>
      <c r="C1965" s="20" t="s">
        <v>3967</v>
      </c>
      <c r="D1965" s="2">
        <v>4.0999999999999996</v>
      </c>
      <c r="E1965" s="21"/>
      <c r="F1965" s="2">
        <f t="shared" si="39"/>
        <v>0</v>
      </c>
      <c r="G1965" s="3" t="str">
        <f>HYPERLINK("http://tmmp-catalog.com.ua/katalog/13/15898/","фото")</f>
        <v>фото</v>
      </c>
      <c r="H1965" s="22"/>
    </row>
    <row r="1966" spans="1:8" ht="15" x14ac:dyDescent="0.2">
      <c r="A1966" s="18">
        <v>2000000007137</v>
      </c>
      <c r="B1966" s="19" t="s">
        <v>3968</v>
      </c>
      <c r="C1966" s="20" t="s">
        <v>3969</v>
      </c>
      <c r="D1966" s="2">
        <v>4.0999999999999996</v>
      </c>
      <c r="E1966" s="21"/>
      <c r="F1966" s="2">
        <f t="shared" si="39"/>
        <v>0</v>
      </c>
      <c r="G1966" s="3" t="str">
        <f>HYPERLINK("http://tmmp-catalog.com.ua/katalog/13/15899/","фото")</f>
        <v>фото</v>
      </c>
      <c r="H1966" s="22"/>
    </row>
    <row r="1967" spans="1:8" ht="15" x14ac:dyDescent="0.2">
      <c r="A1967" s="18">
        <v>2000000007151</v>
      </c>
      <c r="B1967" s="19" t="s">
        <v>3970</v>
      </c>
      <c r="C1967" s="20" t="s">
        <v>3971</v>
      </c>
      <c r="D1967" s="2">
        <v>6</v>
      </c>
      <c r="E1967" s="21"/>
      <c r="F1967" s="2">
        <f t="shared" si="39"/>
        <v>0</v>
      </c>
      <c r="G1967" s="3" t="str">
        <f>HYPERLINK("http://tmmp-catalog.com.ua/katalog/13/15901/","фото")</f>
        <v>фото</v>
      </c>
      <c r="H1967" s="22"/>
    </row>
    <row r="1968" spans="1:8" ht="15" x14ac:dyDescent="0.2">
      <c r="A1968" s="18">
        <v>2000000007168</v>
      </c>
      <c r="B1968" s="19" t="s">
        <v>3972</v>
      </c>
      <c r="C1968" s="20" t="s">
        <v>3973</v>
      </c>
      <c r="D1968" s="2">
        <v>6</v>
      </c>
      <c r="E1968" s="21"/>
      <c r="F1968" s="2">
        <f t="shared" si="39"/>
        <v>0</v>
      </c>
      <c r="G1968" s="3" t="str">
        <f>HYPERLINK("http://tmmp-catalog.com.ua/katalog/13/15902/","фото")</f>
        <v>фото</v>
      </c>
      <c r="H1968" s="22"/>
    </row>
    <row r="1969" spans="1:8" ht="15" x14ac:dyDescent="0.2">
      <c r="A1969" s="18">
        <v>2000000007175</v>
      </c>
      <c r="B1969" s="19" t="s">
        <v>3974</v>
      </c>
      <c r="C1969" s="20" t="s">
        <v>3975</v>
      </c>
      <c r="D1969" s="2">
        <v>6</v>
      </c>
      <c r="E1969" s="21"/>
      <c r="F1969" s="2">
        <f t="shared" si="39"/>
        <v>0</v>
      </c>
      <c r="G1969" s="3" t="str">
        <f>HYPERLINK("http://tmmp-catalog.com.ua/katalog/13/15903/","фото")</f>
        <v>фото</v>
      </c>
      <c r="H1969" s="22"/>
    </row>
    <row r="1970" spans="1:8" ht="15" x14ac:dyDescent="0.2">
      <c r="A1970" s="18">
        <v>2000000007182</v>
      </c>
      <c r="B1970" s="19" t="s">
        <v>3976</v>
      </c>
      <c r="C1970" s="20" t="s">
        <v>3977</v>
      </c>
      <c r="D1970" s="2">
        <v>6</v>
      </c>
      <c r="E1970" s="21"/>
      <c r="F1970" s="2">
        <f t="shared" ref="F1970:F2033" si="40">cena*zakaz</f>
        <v>0</v>
      </c>
      <c r="G1970" s="3" t="str">
        <f>HYPERLINK("http://tmmp-catalog.com.ua/katalog/13/15904/","фото")</f>
        <v>фото</v>
      </c>
      <c r="H1970" s="22"/>
    </row>
    <row r="1971" spans="1:8" ht="15" x14ac:dyDescent="0.2">
      <c r="A1971" s="18"/>
      <c r="B1971" s="19" t="s">
        <v>3978</v>
      </c>
      <c r="C1971" s="20" t="s">
        <v>3979</v>
      </c>
      <c r="D1971" s="2">
        <v>6</v>
      </c>
      <c r="E1971" s="21"/>
      <c r="F1971" s="2">
        <f t="shared" si="40"/>
        <v>0</v>
      </c>
      <c r="G1971" s="3" t="str">
        <f>HYPERLINK("http://tmmp-catalog.com.ua/katalog/13/18719/","фото")</f>
        <v>фото</v>
      </c>
      <c r="H1971" s="22"/>
    </row>
    <row r="1972" spans="1:8" ht="15" x14ac:dyDescent="0.2">
      <c r="A1972" s="18">
        <v>2000000007199</v>
      </c>
      <c r="B1972" s="19" t="s">
        <v>3980</v>
      </c>
      <c r="C1972" s="20" t="s">
        <v>3981</v>
      </c>
      <c r="D1972" s="2">
        <v>6</v>
      </c>
      <c r="E1972" s="21"/>
      <c r="F1972" s="2">
        <f t="shared" si="40"/>
        <v>0</v>
      </c>
      <c r="G1972" s="3" t="str">
        <f>HYPERLINK("http://tmmp-catalog.com.ua/katalog/13/15905/","фото")</f>
        <v>фото</v>
      </c>
      <c r="H1972" s="22"/>
    </row>
    <row r="1973" spans="1:8" ht="15" x14ac:dyDescent="0.2">
      <c r="A1973" s="18">
        <v>2000000007205</v>
      </c>
      <c r="B1973" s="19" t="s">
        <v>3982</v>
      </c>
      <c r="C1973" s="20" t="s">
        <v>3983</v>
      </c>
      <c r="D1973" s="2">
        <v>6</v>
      </c>
      <c r="E1973" s="21"/>
      <c r="F1973" s="2">
        <f t="shared" si="40"/>
        <v>0</v>
      </c>
      <c r="G1973" s="3" t="str">
        <f>HYPERLINK("http://tmmp-catalog.com.ua/katalog/13/15906/","фото")</f>
        <v>фото</v>
      </c>
      <c r="H1973" s="22"/>
    </row>
    <row r="1974" spans="1:8" ht="15" x14ac:dyDescent="0.2">
      <c r="A1974" s="18">
        <v>2000000007212</v>
      </c>
      <c r="B1974" s="19" t="s">
        <v>3984</v>
      </c>
      <c r="C1974" s="20" t="s">
        <v>3985</v>
      </c>
      <c r="D1974" s="2">
        <v>6</v>
      </c>
      <c r="E1974" s="21"/>
      <c r="F1974" s="2">
        <f t="shared" si="40"/>
        <v>0</v>
      </c>
      <c r="G1974" s="3" t="str">
        <f>HYPERLINK("http://tmmp-catalog.com.ua/katalog/13/15907/","фото")</f>
        <v>фото</v>
      </c>
      <c r="H1974" s="22"/>
    </row>
    <row r="1975" spans="1:8" ht="15" x14ac:dyDescent="0.2">
      <c r="A1975" s="18">
        <v>2000000007236</v>
      </c>
      <c r="B1975" s="19" t="s">
        <v>3986</v>
      </c>
      <c r="C1975" s="20" t="s">
        <v>3987</v>
      </c>
      <c r="D1975" s="2">
        <v>6</v>
      </c>
      <c r="E1975" s="21"/>
      <c r="F1975" s="2">
        <f t="shared" si="40"/>
        <v>0</v>
      </c>
      <c r="G1975" s="3" t="str">
        <f>HYPERLINK("http://tmmp-catalog.com.ua/katalog/13/15909/","фото")</f>
        <v>фото</v>
      </c>
      <c r="H1975" s="22"/>
    </row>
    <row r="1976" spans="1:8" ht="15" x14ac:dyDescent="0.2">
      <c r="A1976" s="18">
        <v>2000000007243</v>
      </c>
      <c r="B1976" s="19" t="s">
        <v>3988</v>
      </c>
      <c r="C1976" s="20" t="s">
        <v>3989</v>
      </c>
      <c r="D1976" s="2">
        <v>6</v>
      </c>
      <c r="E1976" s="21"/>
      <c r="F1976" s="2">
        <f t="shared" si="40"/>
        <v>0</v>
      </c>
      <c r="G1976" s="3" t="str">
        <f>HYPERLINK("http://tmmp-catalog.com.ua/katalog/13/15910/","фото")</f>
        <v>фото</v>
      </c>
      <c r="H1976" s="22"/>
    </row>
    <row r="1977" spans="1:8" ht="15" x14ac:dyDescent="0.2">
      <c r="A1977" s="18">
        <v>2000000007250</v>
      </c>
      <c r="B1977" s="19" t="s">
        <v>3990</v>
      </c>
      <c r="C1977" s="20" t="s">
        <v>3991</v>
      </c>
      <c r="D1977" s="2">
        <v>15</v>
      </c>
      <c r="E1977" s="21"/>
      <c r="F1977" s="2">
        <f t="shared" si="40"/>
        <v>0</v>
      </c>
      <c r="G1977" s="3" t="str">
        <f>HYPERLINK("http://tmmp-catalog.com.ua/katalog/13/15911/","фото")</f>
        <v>фото</v>
      </c>
      <c r="H1977" s="22"/>
    </row>
    <row r="1978" spans="1:8" ht="15" x14ac:dyDescent="0.2">
      <c r="A1978" s="18">
        <v>2000000007267</v>
      </c>
      <c r="B1978" s="19" t="s">
        <v>3992</v>
      </c>
      <c r="C1978" s="20" t="s">
        <v>3993</v>
      </c>
      <c r="D1978" s="2">
        <v>15</v>
      </c>
      <c r="E1978" s="21"/>
      <c r="F1978" s="2">
        <f t="shared" si="40"/>
        <v>0</v>
      </c>
      <c r="G1978" s="3" t="str">
        <f>HYPERLINK("http://tmmp-catalog.com.ua/katalog/13/15912/","фото")</f>
        <v>фото</v>
      </c>
      <c r="H1978" s="22"/>
    </row>
    <row r="1979" spans="1:8" ht="15" x14ac:dyDescent="0.2">
      <c r="A1979" s="18">
        <v>2000000007274</v>
      </c>
      <c r="B1979" s="19" t="s">
        <v>3994</v>
      </c>
      <c r="C1979" s="20" t="s">
        <v>3995</v>
      </c>
      <c r="D1979" s="2">
        <v>15</v>
      </c>
      <c r="E1979" s="21"/>
      <c r="F1979" s="2">
        <f t="shared" si="40"/>
        <v>0</v>
      </c>
      <c r="G1979" s="3" t="str">
        <f>HYPERLINK("http://tmmp-catalog.com.ua/katalog/13/15913/","фото")</f>
        <v>фото</v>
      </c>
      <c r="H1979" s="22"/>
    </row>
    <row r="1980" spans="1:8" ht="15" x14ac:dyDescent="0.2">
      <c r="A1980" s="18">
        <v>2000000007304</v>
      </c>
      <c r="B1980" s="19" t="s">
        <v>3996</v>
      </c>
      <c r="C1980" s="20" t="s">
        <v>3997</v>
      </c>
      <c r="D1980" s="2">
        <v>15</v>
      </c>
      <c r="E1980" s="21"/>
      <c r="F1980" s="2">
        <f t="shared" si="40"/>
        <v>0</v>
      </c>
      <c r="G1980" s="3" t="str">
        <f>HYPERLINK("http://tmmp-catalog.com.ua/katalog/13/15916/","фото")</f>
        <v>фото</v>
      </c>
      <c r="H1980" s="22"/>
    </row>
    <row r="1981" spans="1:8" ht="15" x14ac:dyDescent="0.2">
      <c r="A1981" s="18">
        <v>2000000007298</v>
      </c>
      <c r="B1981" s="19" t="s">
        <v>3998</v>
      </c>
      <c r="C1981" s="20" t="s">
        <v>3999</v>
      </c>
      <c r="D1981" s="2">
        <v>15</v>
      </c>
      <c r="E1981" s="21"/>
      <c r="F1981" s="2">
        <f t="shared" si="40"/>
        <v>0</v>
      </c>
      <c r="G1981" s="3" t="str">
        <f>HYPERLINK("http://tmmp-catalog.com.ua/katalog/13/15915/","фото")</f>
        <v>фото</v>
      </c>
      <c r="H1981" s="22"/>
    </row>
    <row r="1982" spans="1:8" ht="15" x14ac:dyDescent="0.2">
      <c r="A1982" s="18">
        <v>2000000007335</v>
      </c>
      <c r="B1982" s="19" t="s">
        <v>4000</v>
      </c>
      <c r="C1982" s="20" t="s">
        <v>4001</v>
      </c>
      <c r="D1982" s="2">
        <v>1.2</v>
      </c>
      <c r="E1982" s="21"/>
      <c r="F1982" s="2">
        <f t="shared" si="40"/>
        <v>0</v>
      </c>
      <c r="G1982" s="3" t="str">
        <f>HYPERLINK("http://tmmp-catalog.com.ua/katalog/13/15919/","фото")</f>
        <v>фото</v>
      </c>
      <c r="H1982" s="22"/>
    </row>
    <row r="1983" spans="1:8" ht="15" x14ac:dyDescent="0.2">
      <c r="A1983" s="18">
        <v>2000000007342</v>
      </c>
      <c r="B1983" s="19" t="s">
        <v>4002</v>
      </c>
      <c r="C1983" s="20" t="s">
        <v>4003</v>
      </c>
      <c r="D1983" s="2">
        <v>1.6</v>
      </c>
      <c r="E1983" s="21"/>
      <c r="F1983" s="2">
        <f t="shared" si="40"/>
        <v>0</v>
      </c>
      <c r="G1983" s="3" t="str">
        <f>HYPERLINK("http://tmmp-catalog.com.ua/katalog/13/15920/","фото")</f>
        <v>фото</v>
      </c>
      <c r="H1983" s="22"/>
    </row>
    <row r="1984" spans="1:8" ht="15" x14ac:dyDescent="0.2">
      <c r="A1984" s="18">
        <v>2000000007359</v>
      </c>
      <c r="B1984" s="19" t="s">
        <v>4004</v>
      </c>
      <c r="C1984" s="20" t="s">
        <v>4005</v>
      </c>
      <c r="D1984" s="2">
        <v>2.8</v>
      </c>
      <c r="E1984" s="21"/>
      <c r="F1984" s="2">
        <f t="shared" si="40"/>
        <v>0</v>
      </c>
      <c r="G1984" s="3" t="str">
        <f>HYPERLINK("http://tmmp-catalog.com.ua/katalog/13/15921/","фото")</f>
        <v>фото</v>
      </c>
      <c r="H1984" s="22"/>
    </row>
    <row r="1985" spans="1:8" ht="15" x14ac:dyDescent="0.2">
      <c r="A1985" s="18">
        <v>2000000009940</v>
      </c>
      <c r="B1985" s="19" t="s">
        <v>4006</v>
      </c>
      <c r="C1985" s="20" t="s">
        <v>4007</v>
      </c>
      <c r="D1985" s="2">
        <v>1.2</v>
      </c>
      <c r="E1985" s="21"/>
      <c r="F1985" s="2">
        <f t="shared" si="40"/>
        <v>0</v>
      </c>
      <c r="G1985" s="3" t="str">
        <f>HYPERLINK("http://tmmp-catalog.com.ua/katalog/13/16720/","фото")</f>
        <v>фото</v>
      </c>
      <c r="H1985" s="22"/>
    </row>
    <row r="1986" spans="1:8" ht="15" x14ac:dyDescent="0.2">
      <c r="A1986" s="18">
        <v>2000000007427</v>
      </c>
      <c r="B1986" s="19" t="s">
        <v>4008</v>
      </c>
      <c r="C1986" s="20" t="s">
        <v>4009</v>
      </c>
      <c r="D1986" s="2">
        <v>7.5</v>
      </c>
      <c r="E1986" s="21"/>
      <c r="F1986" s="2">
        <f t="shared" si="40"/>
        <v>0</v>
      </c>
      <c r="G1986" s="3" t="str">
        <f>HYPERLINK("http://tmmp-catalog.com.ua/katalog/13/15928/","фото")</f>
        <v>фото</v>
      </c>
      <c r="H1986" s="22"/>
    </row>
    <row r="1987" spans="1:8" ht="15" x14ac:dyDescent="0.2">
      <c r="A1987" s="18"/>
      <c r="B1987" s="19" t="s">
        <v>4010</v>
      </c>
      <c r="C1987" s="20" t="s">
        <v>4011</v>
      </c>
      <c r="D1987" s="2">
        <v>6.8</v>
      </c>
      <c r="E1987" s="21"/>
      <c r="F1987" s="2">
        <f t="shared" si="40"/>
        <v>0</v>
      </c>
      <c r="G1987" s="3" t="str">
        <f>HYPERLINK("http://tmmp-catalog.com.ua/katalog/13/18857/","фото")</f>
        <v>фото</v>
      </c>
      <c r="H1987" s="22"/>
    </row>
    <row r="1988" spans="1:8" ht="15" x14ac:dyDescent="0.2">
      <c r="A1988" s="18"/>
      <c r="B1988" s="19" t="s">
        <v>4012</v>
      </c>
      <c r="C1988" s="20" t="s">
        <v>4013</v>
      </c>
      <c r="D1988" s="2">
        <v>9</v>
      </c>
      <c r="E1988" s="21"/>
      <c r="F1988" s="2">
        <f t="shared" si="40"/>
        <v>0</v>
      </c>
      <c r="G1988" s="3" t="str">
        <f>HYPERLINK("http://tmmp-catalog.com.ua/katalog/13/18856/","фото")</f>
        <v>фото</v>
      </c>
      <c r="H1988" s="22"/>
    </row>
    <row r="1989" spans="1:8" ht="15" x14ac:dyDescent="0.2">
      <c r="A1989" s="18">
        <v>2000000037868</v>
      </c>
      <c r="B1989" s="19" t="s">
        <v>4014</v>
      </c>
      <c r="C1989" s="20" t="s">
        <v>4015</v>
      </c>
      <c r="D1989" s="2">
        <v>0.31</v>
      </c>
      <c r="E1989" s="21"/>
      <c r="F1989" s="2">
        <f t="shared" si="40"/>
        <v>0</v>
      </c>
      <c r="G1989" s="3" t="str">
        <f>HYPERLINK("http://tmmp-catalog.com.ua/katalog/13/17149/","фото")</f>
        <v>фото</v>
      </c>
      <c r="H1989" s="22"/>
    </row>
    <row r="1990" spans="1:8" ht="15" x14ac:dyDescent="0.2">
      <c r="A1990" s="18">
        <v>2000000038117</v>
      </c>
      <c r="B1990" s="19" t="s">
        <v>4016</v>
      </c>
      <c r="C1990" s="20" t="s">
        <v>4017</v>
      </c>
      <c r="D1990" s="2">
        <v>0.3</v>
      </c>
      <c r="E1990" s="21"/>
      <c r="F1990" s="2">
        <f t="shared" si="40"/>
        <v>0</v>
      </c>
      <c r="G1990" s="3" t="str">
        <f>HYPERLINK("http://tmmp-catalog.com.ua/katalog/13/17114/","фото")</f>
        <v>фото</v>
      </c>
      <c r="H1990" s="22"/>
    </row>
    <row r="1991" spans="1:8" ht="15" x14ac:dyDescent="0.2">
      <c r="A1991" s="18">
        <v>2000000007465</v>
      </c>
      <c r="B1991" s="19" t="s">
        <v>4018</v>
      </c>
      <c r="C1991" s="20" t="s">
        <v>4019</v>
      </c>
      <c r="D1991" s="2">
        <v>1</v>
      </c>
      <c r="E1991" s="21"/>
      <c r="F1991" s="2">
        <f t="shared" si="40"/>
        <v>0</v>
      </c>
      <c r="G1991" s="3" t="str">
        <f>HYPERLINK("http://tmmp-catalog.com.ua/katalog/13/15932/","фото")</f>
        <v>фото</v>
      </c>
      <c r="H1991" s="22"/>
    </row>
    <row r="1992" spans="1:8" ht="15" x14ac:dyDescent="0.2">
      <c r="A1992" s="18">
        <v>2000000007472</v>
      </c>
      <c r="B1992" s="19" t="s">
        <v>4020</v>
      </c>
      <c r="C1992" s="20" t="s">
        <v>4021</v>
      </c>
      <c r="D1992" s="2">
        <v>12</v>
      </c>
      <c r="E1992" s="21"/>
      <c r="F1992" s="2">
        <f t="shared" si="40"/>
        <v>0</v>
      </c>
      <c r="G1992" s="3" t="str">
        <f>HYPERLINK("http://tmmp-catalog.com.ua/katalog/13/15933/","фото")</f>
        <v>фото</v>
      </c>
      <c r="H1992" s="22"/>
    </row>
    <row r="1993" spans="1:8" ht="15" x14ac:dyDescent="0.2">
      <c r="A1993" s="18">
        <v>2000000007489</v>
      </c>
      <c r="B1993" s="19" t="s">
        <v>4022</v>
      </c>
      <c r="C1993" s="20" t="s">
        <v>4023</v>
      </c>
      <c r="D1993" s="2">
        <v>1</v>
      </c>
      <c r="E1993" s="21"/>
      <c r="F1993" s="2">
        <f t="shared" si="40"/>
        <v>0</v>
      </c>
      <c r="G1993" s="3" t="str">
        <f>HYPERLINK("http://tmmp-catalog.com.ua/katalog/13/15934/","фото")</f>
        <v>фото</v>
      </c>
      <c r="H1993" s="22"/>
    </row>
    <row r="1994" spans="1:8" ht="15" x14ac:dyDescent="0.2">
      <c r="A1994" s="18">
        <v>2000000007496</v>
      </c>
      <c r="B1994" s="19" t="s">
        <v>4024</v>
      </c>
      <c r="C1994" s="20" t="s">
        <v>4025</v>
      </c>
      <c r="D1994" s="2">
        <v>0.8</v>
      </c>
      <c r="E1994" s="21"/>
      <c r="F1994" s="2">
        <f t="shared" si="40"/>
        <v>0</v>
      </c>
      <c r="G1994" s="3" t="str">
        <f>HYPERLINK("http://tmmp-catalog.com.ua/katalog/13/15935/","фото")</f>
        <v>фото</v>
      </c>
      <c r="H1994" s="22"/>
    </row>
    <row r="1995" spans="1:8" ht="15" x14ac:dyDescent="0.2">
      <c r="A1995" s="18">
        <v>2000000007519</v>
      </c>
      <c r="B1995" s="19" t="s">
        <v>4026</v>
      </c>
      <c r="C1995" s="20" t="s">
        <v>4027</v>
      </c>
      <c r="D1995" s="2">
        <v>5</v>
      </c>
      <c r="E1995" s="21"/>
      <c r="F1995" s="2">
        <f t="shared" si="40"/>
        <v>0</v>
      </c>
      <c r="G1995" s="3" t="str">
        <f>HYPERLINK("http://tmmp-catalog.com.ua/katalog/13/15937/","фото")</f>
        <v>фото</v>
      </c>
      <c r="H1995" s="22"/>
    </row>
    <row r="1996" spans="1:8" ht="15" x14ac:dyDescent="0.2">
      <c r="A1996" s="18">
        <v>2000000007526</v>
      </c>
      <c r="B1996" s="19" t="s">
        <v>4028</v>
      </c>
      <c r="C1996" s="20" t="s">
        <v>4029</v>
      </c>
      <c r="D1996" s="2">
        <v>2.4</v>
      </c>
      <c r="E1996" s="21"/>
      <c r="F1996" s="2">
        <f t="shared" si="40"/>
        <v>0</v>
      </c>
      <c r="G1996" s="3" t="str">
        <f>HYPERLINK("http://tmmp-catalog.com.ua/katalog/13/15938/","фото")</f>
        <v>фото</v>
      </c>
      <c r="H1996" s="22"/>
    </row>
    <row r="1997" spans="1:8" ht="15" x14ac:dyDescent="0.2">
      <c r="A1997" s="18">
        <v>2000000007557</v>
      </c>
      <c r="B1997" s="19" t="s">
        <v>4030</v>
      </c>
      <c r="C1997" s="20" t="s">
        <v>4031</v>
      </c>
      <c r="D1997" s="2">
        <v>2.15</v>
      </c>
      <c r="E1997" s="21"/>
      <c r="F1997" s="2">
        <f t="shared" si="40"/>
        <v>0</v>
      </c>
      <c r="G1997" s="3" t="str">
        <f>HYPERLINK("http://tmmp-catalog.com.ua/katalog/13/15941/","фото")</f>
        <v>фото</v>
      </c>
      <c r="H1997" s="22"/>
    </row>
    <row r="1998" spans="1:8" ht="15" x14ac:dyDescent="0.2">
      <c r="A1998" s="18">
        <v>2000000007564</v>
      </c>
      <c r="B1998" s="19" t="s">
        <v>4032</v>
      </c>
      <c r="C1998" s="20" t="s">
        <v>4033</v>
      </c>
      <c r="D1998" s="2">
        <v>2</v>
      </c>
      <c r="E1998" s="21"/>
      <c r="F1998" s="2">
        <f t="shared" si="40"/>
        <v>0</v>
      </c>
      <c r="G1998" s="3" t="str">
        <f>HYPERLINK("http://tmmp-catalog.com.ua/katalog/13/15942/","фото")</f>
        <v>фото</v>
      </c>
      <c r="H1998" s="22"/>
    </row>
    <row r="1999" spans="1:8" ht="15" x14ac:dyDescent="0.2">
      <c r="A1999" s="18">
        <v>2000000010045</v>
      </c>
      <c r="B1999" s="19" t="s">
        <v>4034</v>
      </c>
      <c r="C1999" s="20" t="s">
        <v>4035</v>
      </c>
      <c r="D1999" s="2">
        <v>2.15</v>
      </c>
      <c r="E1999" s="21"/>
      <c r="F1999" s="2">
        <f t="shared" si="40"/>
        <v>0</v>
      </c>
      <c r="G1999" s="3" t="str">
        <f>HYPERLINK("http://tmmp-catalog.com.ua/katalog/13/16730/","фото")</f>
        <v>фото</v>
      </c>
      <c r="H1999" s="22"/>
    </row>
    <row r="2000" spans="1:8" ht="15" x14ac:dyDescent="0.2">
      <c r="A2000" s="18">
        <v>2000000009629</v>
      </c>
      <c r="B2000" s="19" t="s">
        <v>4036</v>
      </c>
      <c r="C2000" s="20" t="s">
        <v>4037</v>
      </c>
      <c r="D2000" s="2">
        <v>3.3</v>
      </c>
      <c r="E2000" s="21"/>
      <c r="F2000" s="2">
        <f t="shared" si="40"/>
        <v>0</v>
      </c>
      <c r="G2000" s="3" t="str">
        <f>HYPERLINK("http://tmmp-catalog.com.ua/katalog/13/16685/","фото")</f>
        <v>фото</v>
      </c>
      <c r="H2000" s="22"/>
    </row>
    <row r="2001" spans="1:8" ht="15" x14ac:dyDescent="0.2">
      <c r="A2001" s="18">
        <v>2000000007625</v>
      </c>
      <c r="B2001" s="19" t="s">
        <v>4038</v>
      </c>
      <c r="C2001" s="20" t="s">
        <v>4039</v>
      </c>
      <c r="D2001" s="2">
        <v>0.9</v>
      </c>
      <c r="E2001" s="21"/>
      <c r="F2001" s="2">
        <f t="shared" si="40"/>
        <v>0</v>
      </c>
      <c r="G2001" s="3" t="str">
        <f>HYPERLINK("http://tmmp-catalog.com.ua/katalog/13/15948/","фото")</f>
        <v>фото</v>
      </c>
      <c r="H2001" s="22"/>
    </row>
    <row r="2002" spans="1:8" ht="15" x14ac:dyDescent="0.2">
      <c r="A2002" s="18">
        <v>2000000007731</v>
      </c>
      <c r="B2002" s="19" t="s">
        <v>4040</v>
      </c>
      <c r="C2002" s="20" t="s">
        <v>4041</v>
      </c>
      <c r="D2002" s="2">
        <v>5.5</v>
      </c>
      <c r="E2002" s="21"/>
      <c r="F2002" s="2">
        <f t="shared" si="40"/>
        <v>0</v>
      </c>
      <c r="G2002" s="3" t="str">
        <f>HYPERLINK("http://tmmp-catalog.com.ua/katalog/13/15960/","фото")</f>
        <v>фото</v>
      </c>
      <c r="H2002" s="22"/>
    </row>
    <row r="2003" spans="1:8" ht="15" x14ac:dyDescent="0.2">
      <c r="A2003" s="18"/>
      <c r="B2003" s="19" t="s">
        <v>4042</v>
      </c>
      <c r="C2003" s="20" t="s">
        <v>4043</v>
      </c>
      <c r="D2003" s="2">
        <v>6.5</v>
      </c>
      <c r="E2003" s="21"/>
      <c r="F2003" s="2">
        <f t="shared" si="40"/>
        <v>0</v>
      </c>
      <c r="G2003" s="3" t="str">
        <f>HYPERLINK("http://tmmp-catalog.com.ua/katalog/13/18780/","фото")</f>
        <v>фото</v>
      </c>
      <c r="H2003" s="22"/>
    </row>
    <row r="2004" spans="1:8" ht="15" x14ac:dyDescent="0.2">
      <c r="A2004" s="18"/>
      <c r="B2004" s="19" t="s">
        <v>4044</v>
      </c>
      <c r="C2004" s="20" t="s">
        <v>4045</v>
      </c>
      <c r="D2004" s="2">
        <v>6.5</v>
      </c>
      <c r="E2004" s="21"/>
      <c r="F2004" s="2">
        <f t="shared" si="40"/>
        <v>0</v>
      </c>
      <c r="G2004" s="3" t="str">
        <f>HYPERLINK("http://tmmp-catalog.com.ua/katalog/13/18775/","фото")</f>
        <v>фото</v>
      </c>
      <c r="H2004" s="22"/>
    </row>
    <row r="2005" spans="1:8" ht="15" x14ac:dyDescent="0.2">
      <c r="A2005" s="18">
        <v>2000000007748</v>
      </c>
      <c r="B2005" s="19" t="s">
        <v>4046</v>
      </c>
      <c r="C2005" s="20" t="s">
        <v>4047</v>
      </c>
      <c r="D2005" s="2">
        <v>0.1</v>
      </c>
      <c r="E2005" s="21"/>
      <c r="F2005" s="2">
        <f t="shared" si="40"/>
        <v>0</v>
      </c>
      <c r="G2005" s="3" t="str">
        <f>HYPERLINK("http://tmmp-catalog.com.ua/katalog/13/15961/","фото")</f>
        <v>фото</v>
      </c>
      <c r="H2005" s="22"/>
    </row>
    <row r="2006" spans="1:8" ht="15" x14ac:dyDescent="0.2">
      <c r="A2006" s="18">
        <v>2000000007779</v>
      </c>
      <c r="B2006" s="19" t="s">
        <v>4048</v>
      </c>
      <c r="C2006" s="20" t="s">
        <v>4049</v>
      </c>
      <c r="D2006" s="2">
        <v>0.1</v>
      </c>
      <c r="E2006" s="21"/>
      <c r="F2006" s="2">
        <f t="shared" si="40"/>
        <v>0</v>
      </c>
      <c r="G2006" s="3" t="str">
        <f>HYPERLINK("http://tmmp-catalog.com.ua/katalog/13/15964/","фото")</f>
        <v>фото</v>
      </c>
      <c r="H2006" s="22"/>
    </row>
    <row r="2007" spans="1:8" ht="15" x14ac:dyDescent="0.2">
      <c r="A2007" s="18">
        <v>2000000005447</v>
      </c>
      <c r="B2007" s="19" t="s">
        <v>4050</v>
      </c>
      <c r="C2007" s="20" t="s">
        <v>4051</v>
      </c>
      <c r="D2007" s="2">
        <v>1.1499999999999999</v>
      </c>
      <c r="E2007" s="21"/>
      <c r="F2007" s="2">
        <f t="shared" si="40"/>
        <v>0</v>
      </c>
      <c r="G2007" s="3" t="str">
        <f>HYPERLINK("http://tmmp-catalog.com.ua/katalog/13/15725/","фото")</f>
        <v>фото</v>
      </c>
      <c r="H2007" s="22"/>
    </row>
    <row r="2008" spans="1:8" ht="15" x14ac:dyDescent="0.2">
      <c r="A2008" s="18">
        <v>2000000005454</v>
      </c>
      <c r="B2008" s="19" t="s">
        <v>4052</v>
      </c>
      <c r="C2008" s="20" t="s">
        <v>4053</v>
      </c>
      <c r="D2008" s="2">
        <v>1</v>
      </c>
      <c r="E2008" s="21"/>
      <c r="F2008" s="2">
        <f t="shared" si="40"/>
        <v>0</v>
      </c>
      <c r="G2008" s="3" t="str">
        <f>HYPERLINK("http://tmmp-catalog.com.ua/katalog/13/15726/","фото")</f>
        <v>фото</v>
      </c>
      <c r="H2008" s="22"/>
    </row>
    <row r="2009" spans="1:8" ht="15" x14ac:dyDescent="0.2">
      <c r="A2009" s="18">
        <v>2000000005485</v>
      </c>
      <c r="B2009" s="19" t="s">
        <v>4054</v>
      </c>
      <c r="C2009" s="20" t="s">
        <v>4055</v>
      </c>
      <c r="D2009" s="2">
        <v>3.7</v>
      </c>
      <c r="E2009" s="21"/>
      <c r="F2009" s="2">
        <f t="shared" si="40"/>
        <v>0</v>
      </c>
      <c r="G2009" s="3" t="str">
        <f>HYPERLINK("http://tmmp-catalog.com.ua/katalog/13/15729/","фото")</f>
        <v>фото</v>
      </c>
      <c r="H2009" s="22"/>
    </row>
    <row r="2010" spans="1:8" ht="15" x14ac:dyDescent="0.2">
      <c r="A2010" s="18">
        <v>2000000005461</v>
      </c>
      <c r="B2010" s="19" t="s">
        <v>4056</v>
      </c>
      <c r="C2010" s="20" t="s">
        <v>4057</v>
      </c>
      <c r="D2010" s="2">
        <v>2</v>
      </c>
      <c r="E2010" s="21"/>
      <c r="F2010" s="2">
        <f t="shared" si="40"/>
        <v>0</v>
      </c>
      <c r="G2010" s="3" t="str">
        <f>HYPERLINK("http://tmmp-catalog.com.ua/katalog/13/15727/","фото")</f>
        <v>фото</v>
      </c>
      <c r="H2010" s="22"/>
    </row>
    <row r="2011" spans="1:8" ht="15" x14ac:dyDescent="0.2">
      <c r="A2011" s="18">
        <v>2000000005478</v>
      </c>
      <c r="B2011" s="19" t="s">
        <v>4058</v>
      </c>
      <c r="C2011" s="20" t="s">
        <v>4059</v>
      </c>
      <c r="D2011" s="2">
        <v>1.6</v>
      </c>
      <c r="E2011" s="21"/>
      <c r="F2011" s="2">
        <f t="shared" si="40"/>
        <v>0</v>
      </c>
      <c r="G2011" s="3" t="str">
        <f>HYPERLINK("http://tmmp-catalog.com.ua/katalog/13/15728/","фото")</f>
        <v>фото</v>
      </c>
      <c r="H2011" s="22"/>
    </row>
    <row r="2012" spans="1:8" ht="15" x14ac:dyDescent="0.2">
      <c r="A2012" s="18">
        <v>2000000005492</v>
      </c>
      <c r="B2012" s="19" t="s">
        <v>4060</v>
      </c>
      <c r="C2012" s="20" t="s">
        <v>4061</v>
      </c>
      <c r="D2012" s="2">
        <v>2</v>
      </c>
      <c r="E2012" s="21"/>
      <c r="F2012" s="2">
        <f t="shared" si="40"/>
        <v>0</v>
      </c>
      <c r="G2012" s="3" t="str">
        <f>HYPERLINK("http://tmmp-catalog.com.ua/katalog/13/15730/","фото")</f>
        <v>фото</v>
      </c>
      <c r="H2012" s="22"/>
    </row>
    <row r="2013" spans="1:8" ht="15" x14ac:dyDescent="0.2">
      <c r="A2013" s="18">
        <v>2000000009322</v>
      </c>
      <c r="B2013" s="19" t="s">
        <v>4062</v>
      </c>
      <c r="C2013" s="20" t="s">
        <v>4063</v>
      </c>
      <c r="D2013" s="2">
        <v>2</v>
      </c>
      <c r="E2013" s="21"/>
      <c r="F2013" s="2">
        <f t="shared" si="40"/>
        <v>0</v>
      </c>
      <c r="G2013" s="3" t="str">
        <f>HYPERLINK("http://tmmp-catalog.com.ua/katalog/13/16643/","фото")</f>
        <v>фото</v>
      </c>
      <c r="H2013" s="22"/>
    </row>
    <row r="2014" spans="1:8" ht="15" x14ac:dyDescent="0.2">
      <c r="A2014" s="18">
        <v>2000000007861</v>
      </c>
      <c r="B2014" s="19" t="s">
        <v>4064</v>
      </c>
      <c r="C2014" s="20" t="s">
        <v>4065</v>
      </c>
      <c r="D2014" s="2">
        <v>3.9</v>
      </c>
      <c r="E2014" s="21"/>
      <c r="F2014" s="2">
        <f t="shared" si="40"/>
        <v>0</v>
      </c>
      <c r="G2014" s="3" t="str">
        <f>HYPERLINK("http://tmmp-catalog.com.ua/katalog/13/15973/","фото")</f>
        <v>фото</v>
      </c>
      <c r="H2014" s="22"/>
    </row>
    <row r="2015" spans="1:8" ht="15" x14ac:dyDescent="0.2">
      <c r="A2015" s="18">
        <v>2000000009681</v>
      </c>
      <c r="B2015" s="19" t="s">
        <v>4066</v>
      </c>
      <c r="C2015" s="20" t="s">
        <v>4067</v>
      </c>
      <c r="D2015" s="2">
        <v>2.85</v>
      </c>
      <c r="E2015" s="21"/>
      <c r="F2015" s="2">
        <f t="shared" si="40"/>
        <v>0</v>
      </c>
      <c r="G2015" s="3" t="str">
        <f>HYPERLINK("http://tmmp-catalog.com.ua/katalog/13/16692/","фото")</f>
        <v>фото</v>
      </c>
      <c r="H2015" s="22"/>
    </row>
    <row r="2016" spans="1:8" ht="15" x14ac:dyDescent="0.2">
      <c r="A2016" s="18">
        <v>2000000007878</v>
      </c>
      <c r="B2016" s="19" t="s">
        <v>4068</v>
      </c>
      <c r="C2016" s="20" t="s">
        <v>4069</v>
      </c>
      <c r="D2016" s="2">
        <v>0.45</v>
      </c>
      <c r="E2016" s="21"/>
      <c r="F2016" s="2">
        <f t="shared" si="40"/>
        <v>0</v>
      </c>
      <c r="G2016" s="3" t="str">
        <f>HYPERLINK("http://tmmp-catalog.com.ua/katalog/13/15975/","фото")</f>
        <v>фото</v>
      </c>
      <c r="H2016" s="22"/>
    </row>
    <row r="2017" spans="1:8" ht="15" x14ac:dyDescent="0.2">
      <c r="A2017" s="18">
        <v>2000000007915</v>
      </c>
      <c r="B2017" s="19" t="s">
        <v>4070</v>
      </c>
      <c r="C2017" s="20" t="s">
        <v>4071</v>
      </c>
      <c r="D2017" s="2">
        <v>0.45</v>
      </c>
      <c r="E2017" s="21"/>
      <c r="F2017" s="2">
        <f t="shared" si="40"/>
        <v>0</v>
      </c>
      <c r="G2017" s="3" t="str">
        <f>HYPERLINK("http://tmmp-catalog.com.ua/katalog/13/15979/","фото")</f>
        <v>фото</v>
      </c>
      <c r="H2017" s="22"/>
    </row>
    <row r="2018" spans="1:8" ht="15" x14ac:dyDescent="0.2">
      <c r="A2018" s="18">
        <v>2000000007885</v>
      </c>
      <c r="B2018" s="19" t="s">
        <v>4072</v>
      </c>
      <c r="C2018" s="20" t="s">
        <v>4073</v>
      </c>
      <c r="D2018" s="2">
        <v>0.3</v>
      </c>
      <c r="E2018" s="21"/>
      <c r="F2018" s="2">
        <f t="shared" si="40"/>
        <v>0</v>
      </c>
      <c r="G2018" s="3" t="str">
        <f>HYPERLINK("http://tmmp-catalog.com.ua/katalog/13/15976/","фото")</f>
        <v>фото</v>
      </c>
      <c r="H2018" s="22"/>
    </row>
    <row r="2019" spans="1:8" ht="15" x14ac:dyDescent="0.2">
      <c r="A2019" s="18">
        <v>2000000007892</v>
      </c>
      <c r="B2019" s="19" t="s">
        <v>4074</v>
      </c>
      <c r="C2019" s="20" t="s">
        <v>4075</v>
      </c>
      <c r="D2019" s="2">
        <v>0.25</v>
      </c>
      <c r="E2019" s="21"/>
      <c r="F2019" s="2">
        <f t="shared" si="40"/>
        <v>0</v>
      </c>
      <c r="G2019" s="3" t="str">
        <f>HYPERLINK("http://tmmp-catalog.com.ua/katalog/13/15977/","фото")</f>
        <v>фото</v>
      </c>
      <c r="H2019" s="22"/>
    </row>
    <row r="2020" spans="1:8" ht="15" x14ac:dyDescent="0.2">
      <c r="A2020" s="18">
        <v>2000000009896</v>
      </c>
      <c r="B2020" s="19" t="s">
        <v>4076</v>
      </c>
      <c r="C2020" s="20" t="s">
        <v>4077</v>
      </c>
      <c r="D2020" s="2">
        <v>0.4</v>
      </c>
      <c r="E2020" s="21"/>
      <c r="F2020" s="2">
        <f t="shared" si="40"/>
        <v>0</v>
      </c>
      <c r="G2020" s="3" t="str">
        <f>HYPERLINK("http://tmmp-catalog.com.ua/katalog/13/16715/","фото")</f>
        <v>фото</v>
      </c>
      <c r="H2020" s="22"/>
    </row>
    <row r="2021" spans="1:8" ht="15" x14ac:dyDescent="0.2">
      <c r="A2021" s="18">
        <v>2000000007922</v>
      </c>
      <c r="B2021" s="19" t="s">
        <v>4078</v>
      </c>
      <c r="C2021" s="20" t="s">
        <v>4079</v>
      </c>
      <c r="D2021" s="2">
        <v>0.85</v>
      </c>
      <c r="E2021" s="21"/>
      <c r="F2021" s="2">
        <f t="shared" si="40"/>
        <v>0</v>
      </c>
      <c r="G2021" s="3" t="str">
        <f>HYPERLINK("http://tmmp-catalog.com.ua/katalog/13/15980/","фото")</f>
        <v>фото</v>
      </c>
      <c r="H2021" s="22"/>
    </row>
    <row r="2022" spans="1:8" ht="15" x14ac:dyDescent="0.2">
      <c r="A2022" s="18">
        <v>2000000007908</v>
      </c>
      <c r="B2022" s="19" t="s">
        <v>4080</v>
      </c>
      <c r="C2022" s="20" t="s">
        <v>4081</v>
      </c>
      <c r="D2022" s="2">
        <v>0.8</v>
      </c>
      <c r="E2022" s="21"/>
      <c r="F2022" s="2">
        <f t="shared" si="40"/>
        <v>0</v>
      </c>
      <c r="G2022" s="3" t="str">
        <f>HYPERLINK("http://tmmp-catalog.com.ua/katalog/13/15978/","фото")</f>
        <v>фото</v>
      </c>
      <c r="H2022" s="22"/>
    </row>
    <row r="2023" spans="1:8" ht="15" x14ac:dyDescent="0.2">
      <c r="A2023" s="18">
        <v>2000000007939</v>
      </c>
      <c r="B2023" s="19" t="s">
        <v>4082</v>
      </c>
      <c r="C2023" s="20" t="s">
        <v>4083</v>
      </c>
      <c r="D2023" s="2">
        <v>1.5</v>
      </c>
      <c r="E2023" s="21"/>
      <c r="F2023" s="2">
        <f t="shared" si="40"/>
        <v>0</v>
      </c>
      <c r="G2023" s="3" t="str">
        <f>HYPERLINK("http://tmmp-catalog.com.ua/katalog/13/15981/","фото")</f>
        <v>фото</v>
      </c>
      <c r="H2023" s="22"/>
    </row>
    <row r="2024" spans="1:8" ht="15" x14ac:dyDescent="0.2">
      <c r="A2024" s="18">
        <v>2000000007991</v>
      </c>
      <c r="B2024" s="19" t="s">
        <v>4084</v>
      </c>
      <c r="C2024" s="20" t="s">
        <v>4085</v>
      </c>
      <c r="D2024" s="2">
        <v>45</v>
      </c>
      <c r="E2024" s="21"/>
      <c r="F2024" s="2">
        <f t="shared" si="40"/>
        <v>0</v>
      </c>
      <c r="G2024" s="3" t="str">
        <f>HYPERLINK("http://tmmp-catalog.com.ua/katalog/13/15987/","фото")</f>
        <v>фото</v>
      </c>
      <c r="H2024" s="22"/>
    </row>
    <row r="2025" spans="1:8" ht="15" x14ac:dyDescent="0.2">
      <c r="A2025" s="18"/>
      <c r="B2025" s="19" t="s">
        <v>4086</v>
      </c>
      <c r="C2025" s="20" t="s">
        <v>4087</v>
      </c>
      <c r="D2025" s="2">
        <v>19</v>
      </c>
      <c r="E2025" s="21"/>
      <c r="F2025" s="2">
        <f t="shared" si="40"/>
        <v>0</v>
      </c>
      <c r="G2025" s="3" t="str">
        <f>HYPERLINK("http://tmmp-catalog.com.ua/katalog/13/17646/","фото")</f>
        <v>фото</v>
      </c>
      <c r="H2025" s="22"/>
    </row>
    <row r="2026" spans="1:8" ht="15" x14ac:dyDescent="0.2">
      <c r="A2026" s="18">
        <v>2000000008028</v>
      </c>
      <c r="B2026" s="19" t="s">
        <v>4088</v>
      </c>
      <c r="C2026" s="20" t="s">
        <v>4089</v>
      </c>
      <c r="D2026" s="2">
        <v>0.12</v>
      </c>
      <c r="E2026" s="21"/>
      <c r="F2026" s="2">
        <f t="shared" si="40"/>
        <v>0</v>
      </c>
      <c r="G2026" s="3" t="str">
        <f>HYPERLINK("http://tmmp-catalog.com.ua/katalog/13/15990/","фото")</f>
        <v>фото</v>
      </c>
      <c r="H2026" s="22"/>
    </row>
    <row r="2027" spans="1:8" ht="15" x14ac:dyDescent="0.2">
      <c r="A2027" s="18">
        <v>2000000008035</v>
      </c>
      <c r="B2027" s="19" t="s">
        <v>4090</v>
      </c>
      <c r="C2027" s="20" t="s">
        <v>4091</v>
      </c>
      <c r="D2027" s="2">
        <v>0.05</v>
      </c>
      <c r="E2027" s="21"/>
      <c r="F2027" s="2">
        <f t="shared" si="40"/>
        <v>0</v>
      </c>
      <c r="G2027" s="3" t="str">
        <f>HYPERLINK("http://tmmp-catalog.com.ua/katalog/13/15991/","фото")</f>
        <v>фото</v>
      </c>
      <c r="H2027" s="22"/>
    </row>
    <row r="2028" spans="1:8" ht="15" x14ac:dyDescent="0.2">
      <c r="A2028" s="18">
        <v>2000000009575</v>
      </c>
      <c r="B2028" s="19" t="s">
        <v>4092</v>
      </c>
      <c r="C2028" s="20" t="s">
        <v>4093</v>
      </c>
      <c r="D2028" s="2">
        <v>0.1</v>
      </c>
      <c r="E2028" s="21"/>
      <c r="F2028" s="2">
        <f t="shared" si="40"/>
        <v>0</v>
      </c>
      <c r="G2028" s="3" t="str">
        <f>HYPERLINK("http://tmmp-catalog.com.ua/katalog/13/16679/","фото")</f>
        <v>фото</v>
      </c>
      <c r="H2028" s="22"/>
    </row>
    <row r="2029" spans="1:8" ht="15" x14ac:dyDescent="0.2">
      <c r="A2029" s="18"/>
      <c r="B2029" s="19" t="s">
        <v>4094</v>
      </c>
      <c r="C2029" s="20" t="s">
        <v>4095</v>
      </c>
      <c r="D2029" s="2">
        <v>0.65</v>
      </c>
      <c r="E2029" s="21"/>
      <c r="F2029" s="2">
        <f t="shared" si="40"/>
        <v>0</v>
      </c>
      <c r="G2029" s="3" t="str">
        <f>HYPERLINK("http://tmmp-catalog.com.ua/katalog/37/18511/","фото")</f>
        <v>фото</v>
      </c>
      <c r="H2029" s="22"/>
    </row>
    <row r="2030" spans="1:8" ht="15" x14ac:dyDescent="0.2">
      <c r="A2030" s="18"/>
      <c r="B2030" s="19" t="s">
        <v>4096</v>
      </c>
      <c r="C2030" s="20" t="s">
        <v>4097</v>
      </c>
      <c r="D2030" s="2">
        <v>0.2</v>
      </c>
      <c r="E2030" s="21"/>
      <c r="F2030" s="2">
        <f t="shared" si="40"/>
        <v>0</v>
      </c>
      <c r="G2030" s="3" t="str">
        <f>HYPERLINK("http://tmmp-catalog.com.ua/katalog/37/18650/","фото")</f>
        <v>фото</v>
      </c>
      <c r="H2030" s="22"/>
    </row>
    <row r="2031" spans="1:8" ht="15" x14ac:dyDescent="0.2">
      <c r="A2031" s="18">
        <v>2000000008066</v>
      </c>
      <c r="B2031" s="19" t="s">
        <v>4098</v>
      </c>
      <c r="C2031" s="20" t="s">
        <v>4099</v>
      </c>
      <c r="D2031" s="2">
        <v>0.9</v>
      </c>
      <c r="E2031" s="21"/>
      <c r="F2031" s="2">
        <f t="shared" si="40"/>
        <v>0</v>
      </c>
      <c r="G2031" s="3" t="str">
        <f>HYPERLINK("http://tmmp-catalog.com.ua/katalog/13/15994/","фото")</f>
        <v>фото</v>
      </c>
      <c r="H2031" s="22"/>
    </row>
    <row r="2032" spans="1:8" ht="15" x14ac:dyDescent="0.2">
      <c r="A2032" s="18">
        <v>2000000008080</v>
      </c>
      <c r="B2032" s="19" t="s">
        <v>4100</v>
      </c>
      <c r="C2032" s="20" t="s">
        <v>4101</v>
      </c>
      <c r="D2032" s="2">
        <v>4.0999999999999996</v>
      </c>
      <c r="E2032" s="21"/>
      <c r="F2032" s="2">
        <f t="shared" si="40"/>
        <v>0</v>
      </c>
      <c r="G2032" s="3" t="str">
        <f>HYPERLINK("http://tmmp-catalog.com.ua/katalog/13/15996/","фото")</f>
        <v>фото</v>
      </c>
      <c r="H2032" s="22"/>
    </row>
    <row r="2033" spans="1:8" ht="15" x14ac:dyDescent="0.2">
      <c r="A2033" s="18">
        <v>2000000008097</v>
      </c>
      <c r="B2033" s="19" t="s">
        <v>4102</v>
      </c>
      <c r="C2033" s="20" t="s">
        <v>4103</v>
      </c>
      <c r="D2033" s="2">
        <v>4.2</v>
      </c>
      <c r="E2033" s="21"/>
      <c r="F2033" s="2">
        <f t="shared" si="40"/>
        <v>0</v>
      </c>
      <c r="G2033" s="3" t="str">
        <f>HYPERLINK("http://tmmp-catalog.com.ua/katalog/13/15997/","фото")</f>
        <v>фото</v>
      </c>
      <c r="H2033" s="22"/>
    </row>
    <row r="2034" spans="1:8" ht="15" x14ac:dyDescent="0.2">
      <c r="A2034" s="18">
        <v>2000000008110</v>
      </c>
      <c r="B2034" s="19" t="s">
        <v>4104</v>
      </c>
      <c r="C2034" s="20" t="s">
        <v>4105</v>
      </c>
      <c r="D2034" s="2">
        <v>3.6</v>
      </c>
      <c r="E2034" s="21"/>
      <c r="F2034" s="2">
        <f t="shared" ref="F2034:F2085" si="41">cena*zakaz</f>
        <v>0</v>
      </c>
      <c r="G2034" s="3" t="str">
        <f>HYPERLINK("http://tmmp-catalog.com.ua/katalog/13/15999/","фото")</f>
        <v>фото</v>
      </c>
      <c r="H2034" s="22"/>
    </row>
    <row r="2035" spans="1:8" ht="15" x14ac:dyDescent="0.2">
      <c r="A2035" s="18"/>
      <c r="B2035" s="19" t="s">
        <v>4106</v>
      </c>
      <c r="C2035" s="20" t="s">
        <v>4107</v>
      </c>
      <c r="D2035" s="2">
        <v>2</v>
      </c>
      <c r="E2035" s="21"/>
      <c r="F2035" s="2">
        <f t="shared" si="41"/>
        <v>0</v>
      </c>
      <c r="G2035" s="3" t="str">
        <f>HYPERLINK("http://tmmp-catalog.com.ua/katalog/37/18784/","фото")</f>
        <v>фото</v>
      </c>
      <c r="H2035" s="22"/>
    </row>
    <row r="2036" spans="1:8" ht="15" x14ac:dyDescent="0.2">
      <c r="A2036" s="18">
        <v>2000000008134</v>
      </c>
      <c r="B2036" s="19" t="s">
        <v>4108</v>
      </c>
      <c r="C2036" s="20" t="s">
        <v>4109</v>
      </c>
      <c r="D2036" s="2">
        <v>7</v>
      </c>
      <c r="E2036" s="21"/>
      <c r="F2036" s="2">
        <f t="shared" si="41"/>
        <v>0</v>
      </c>
      <c r="G2036" s="3" t="str">
        <f>HYPERLINK("http://tmmp-catalog.com.ua/katalog/13/16001/","фото")</f>
        <v>фото</v>
      </c>
      <c r="H2036" s="22"/>
    </row>
    <row r="2037" spans="1:8" ht="15" x14ac:dyDescent="0.2">
      <c r="A2037" s="18">
        <v>2000000008172</v>
      </c>
      <c r="B2037" s="19" t="s">
        <v>4110</v>
      </c>
      <c r="C2037" s="20" t="s">
        <v>4111</v>
      </c>
      <c r="D2037" s="2">
        <v>0.7</v>
      </c>
      <c r="E2037" s="21"/>
      <c r="F2037" s="2">
        <f t="shared" si="41"/>
        <v>0</v>
      </c>
      <c r="G2037" s="3" t="str">
        <f>HYPERLINK("http://tmmp-catalog.com.ua/katalog/13/16005/","фото")</f>
        <v>фото</v>
      </c>
      <c r="H2037" s="22"/>
    </row>
    <row r="2038" spans="1:8" ht="15" x14ac:dyDescent="0.2">
      <c r="A2038" s="18">
        <v>2000000008196</v>
      </c>
      <c r="B2038" s="19" t="s">
        <v>4112</v>
      </c>
      <c r="C2038" s="20" t="s">
        <v>4113</v>
      </c>
      <c r="D2038" s="2">
        <v>0.7</v>
      </c>
      <c r="E2038" s="21"/>
      <c r="F2038" s="2">
        <f t="shared" si="41"/>
        <v>0</v>
      </c>
      <c r="G2038" s="3" t="str">
        <f>HYPERLINK("http://tmmp-catalog.com.ua/katalog/13/16007/","фото")</f>
        <v>фото</v>
      </c>
      <c r="H2038" s="22"/>
    </row>
    <row r="2039" spans="1:8" ht="15" x14ac:dyDescent="0.2">
      <c r="A2039" s="18">
        <v>2000000008158</v>
      </c>
      <c r="B2039" s="19" t="s">
        <v>4114</v>
      </c>
      <c r="C2039" s="20" t="s">
        <v>4115</v>
      </c>
      <c r="D2039" s="2">
        <v>0.7</v>
      </c>
      <c r="E2039" s="21"/>
      <c r="F2039" s="2">
        <f t="shared" si="41"/>
        <v>0</v>
      </c>
      <c r="G2039" s="3" t="str">
        <f>HYPERLINK("http://tmmp-catalog.com.ua/katalog/13/16003/","фото")</f>
        <v>фото</v>
      </c>
      <c r="H2039" s="22"/>
    </row>
    <row r="2040" spans="1:8" ht="15" x14ac:dyDescent="0.2">
      <c r="A2040" s="18">
        <v>2000000008165</v>
      </c>
      <c r="B2040" s="19" t="s">
        <v>4116</v>
      </c>
      <c r="C2040" s="20" t="s">
        <v>4117</v>
      </c>
      <c r="D2040" s="2">
        <v>0.7</v>
      </c>
      <c r="E2040" s="21"/>
      <c r="F2040" s="2">
        <f t="shared" si="41"/>
        <v>0</v>
      </c>
      <c r="G2040" s="3" t="str">
        <f>HYPERLINK("http://tmmp-catalog.com.ua/katalog/13/16004/","фото")</f>
        <v>фото</v>
      </c>
      <c r="H2040" s="22"/>
    </row>
    <row r="2041" spans="1:8" ht="15" x14ac:dyDescent="0.2">
      <c r="A2041" s="18">
        <v>2000000008202</v>
      </c>
      <c r="B2041" s="19" t="s">
        <v>4118</v>
      </c>
      <c r="C2041" s="20" t="s">
        <v>4119</v>
      </c>
      <c r="D2041" s="2">
        <v>1.1000000000000001</v>
      </c>
      <c r="E2041" s="21"/>
      <c r="F2041" s="2">
        <f t="shared" si="41"/>
        <v>0</v>
      </c>
      <c r="G2041" s="3" t="str">
        <f>HYPERLINK("http://tmmp-catalog.com.ua/katalog/13/16008/","фото")</f>
        <v>фото</v>
      </c>
      <c r="H2041" s="22"/>
    </row>
    <row r="2042" spans="1:8" ht="15" x14ac:dyDescent="0.2">
      <c r="A2042" s="18">
        <v>2000000008219</v>
      </c>
      <c r="B2042" s="19" t="s">
        <v>4120</v>
      </c>
      <c r="C2042" s="20" t="s">
        <v>4121</v>
      </c>
      <c r="D2042" s="2">
        <v>1</v>
      </c>
      <c r="E2042" s="21"/>
      <c r="F2042" s="2">
        <f t="shared" si="41"/>
        <v>0</v>
      </c>
      <c r="G2042" s="3" t="str">
        <f>HYPERLINK("http://tmmp-catalog.com.ua/katalog/13/16009/","фото")</f>
        <v>фото</v>
      </c>
      <c r="H2042" s="22"/>
    </row>
    <row r="2043" spans="1:8" ht="15" x14ac:dyDescent="0.2">
      <c r="A2043" s="18">
        <v>2000000008240</v>
      </c>
      <c r="B2043" s="19" t="s">
        <v>4122</v>
      </c>
      <c r="C2043" s="20" t="s">
        <v>4123</v>
      </c>
      <c r="D2043" s="2">
        <v>0.95</v>
      </c>
      <c r="E2043" s="21"/>
      <c r="F2043" s="2">
        <f t="shared" si="41"/>
        <v>0</v>
      </c>
      <c r="G2043" s="3" t="str">
        <f>HYPERLINK("http://tmmp-catalog.com.ua/katalog/13/16012/","фото")</f>
        <v>фото</v>
      </c>
      <c r="H2043" s="22"/>
    </row>
    <row r="2044" spans="1:8" ht="15" x14ac:dyDescent="0.2">
      <c r="A2044" s="18">
        <v>2000000008226</v>
      </c>
      <c r="B2044" s="19" t="s">
        <v>4124</v>
      </c>
      <c r="C2044" s="20" t="s">
        <v>4125</v>
      </c>
      <c r="D2044" s="2">
        <v>1.2</v>
      </c>
      <c r="E2044" s="21"/>
      <c r="F2044" s="2">
        <f t="shared" si="41"/>
        <v>0</v>
      </c>
      <c r="G2044" s="3" t="str">
        <f>HYPERLINK("http://tmmp-catalog.com.ua/katalog/13/16010/","фото")</f>
        <v>фото</v>
      </c>
      <c r="H2044" s="22"/>
    </row>
    <row r="2045" spans="1:8" ht="15" x14ac:dyDescent="0.2">
      <c r="A2045" s="18">
        <v>2000000008233</v>
      </c>
      <c r="B2045" s="19" t="s">
        <v>4126</v>
      </c>
      <c r="C2045" s="20" t="s">
        <v>4127</v>
      </c>
      <c r="D2045" s="2">
        <v>0.75</v>
      </c>
      <c r="E2045" s="21"/>
      <c r="F2045" s="2">
        <f t="shared" si="41"/>
        <v>0</v>
      </c>
      <c r="G2045" s="3" t="str">
        <f>HYPERLINK("http://tmmp-catalog.com.ua/katalog/13/16011/","фото")</f>
        <v>фото</v>
      </c>
      <c r="H2045" s="22"/>
    </row>
    <row r="2046" spans="1:8" ht="15" x14ac:dyDescent="0.2">
      <c r="A2046" s="18">
        <v>2000000008264</v>
      </c>
      <c r="B2046" s="19" t="s">
        <v>4128</v>
      </c>
      <c r="C2046" s="20" t="s">
        <v>4129</v>
      </c>
      <c r="D2046" s="2">
        <v>1.3</v>
      </c>
      <c r="E2046" s="21"/>
      <c r="F2046" s="2">
        <f t="shared" si="41"/>
        <v>0</v>
      </c>
      <c r="G2046" s="3" t="str">
        <f>HYPERLINK("http://tmmp-catalog.com.ua/katalog/13/16015/","фото")</f>
        <v>фото</v>
      </c>
      <c r="H2046" s="22"/>
    </row>
    <row r="2047" spans="1:8" ht="15" x14ac:dyDescent="0.2">
      <c r="A2047" s="18">
        <v>2000000008271</v>
      </c>
      <c r="B2047" s="19" t="s">
        <v>4130</v>
      </c>
      <c r="C2047" s="20" t="s">
        <v>4131</v>
      </c>
      <c r="D2047" s="2">
        <v>1.6</v>
      </c>
      <c r="E2047" s="21"/>
      <c r="F2047" s="2">
        <f t="shared" si="41"/>
        <v>0</v>
      </c>
      <c r="G2047" s="3" t="str">
        <f>HYPERLINK("http://tmmp-catalog.com.ua/katalog/13/16016/","фото")</f>
        <v>фото</v>
      </c>
      <c r="H2047" s="22"/>
    </row>
    <row r="2048" spans="1:8" ht="15" x14ac:dyDescent="0.2">
      <c r="A2048" s="18">
        <v>2000000008295</v>
      </c>
      <c r="B2048" s="19" t="s">
        <v>4132</v>
      </c>
      <c r="C2048" s="20" t="s">
        <v>4133</v>
      </c>
      <c r="D2048" s="2">
        <v>1.7</v>
      </c>
      <c r="E2048" s="21"/>
      <c r="F2048" s="2">
        <f t="shared" si="41"/>
        <v>0</v>
      </c>
      <c r="G2048" s="3" t="str">
        <f>HYPERLINK("http://tmmp-catalog.com.ua/katalog/13/16018/","фото")</f>
        <v>фото</v>
      </c>
      <c r="H2048" s="22"/>
    </row>
    <row r="2049" spans="1:8" ht="15" x14ac:dyDescent="0.2">
      <c r="A2049" s="18">
        <v>2000000008332</v>
      </c>
      <c r="B2049" s="19" t="s">
        <v>4134</v>
      </c>
      <c r="C2049" s="20" t="s">
        <v>4135</v>
      </c>
      <c r="D2049" s="2">
        <v>0.9</v>
      </c>
      <c r="E2049" s="21"/>
      <c r="F2049" s="2">
        <f t="shared" si="41"/>
        <v>0</v>
      </c>
      <c r="G2049" s="3" t="str">
        <f>HYPERLINK("http://tmmp-catalog.com.ua/katalog/13/16022/","фото")</f>
        <v>фото</v>
      </c>
      <c r="H2049" s="22"/>
    </row>
    <row r="2050" spans="1:8" ht="15" x14ac:dyDescent="0.2">
      <c r="A2050" s="18">
        <v>2000000008370</v>
      </c>
      <c r="B2050" s="19" t="s">
        <v>4136</v>
      </c>
      <c r="C2050" s="20" t="s">
        <v>4137</v>
      </c>
      <c r="D2050" s="2">
        <v>0.9</v>
      </c>
      <c r="E2050" s="21"/>
      <c r="F2050" s="2">
        <f t="shared" si="41"/>
        <v>0</v>
      </c>
      <c r="G2050" s="3" t="str">
        <f>HYPERLINK("http://tmmp-catalog.com.ua/katalog/13/16027/","фото")</f>
        <v>фото</v>
      </c>
      <c r="H2050" s="22"/>
    </row>
    <row r="2051" spans="1:8" ht="15" x14ac:dyDescent="0.2">
      <c r="A2051" s="18">
        <v>2000000008356</v>
      </c>
      <c r="B2051" s="19" t="s">
        <v>4138</v>
      </c>
      <c r="C2051" s="20" t="s">
        <v>4139</v>
      </c>
      <c r="D2051" s="2">
        <v>0.7</v>
      </c>
      <c r="E2051" s="21"/>
      <c r="F2051" s="2">
        <f t="shared" si="41"/>
        <v>0</v>
      </c>
      <c r="G2051" s="3" t="str">
        <f>HYPERLINK("http://tmmp-catalog.com.ua/katalog/13/16025/","фото")</f>
        <v>фото</v>
      </c>
      <c r="H2051" s="22"/>
    </row>
    <row r="2052" spans="1:8" ht="15" x14ac:dyDescent="0.2">
      <c r="A2052" s="18">
        <v>2000000008363</v>
      </c>
      <c r="B2052" s="19" t="s">
        <v>4140</v>
      </c>
      <c r="C2052" s="20" t="s">
        <v>4141</v>
      </c>
      <c r="D2052" s="2">
        <v>0.65</v>
      </c>
      <c r="E2052" s="21"/>
      <c r="F2052" s="2">
        <f t="shared" si="41"/>
        <v>0</v>
      </c>
      <c r="G2052" s="3" t="str">
        <f>HYPERLINK("http://tmmp-catalog.com.ua/katalog/13/16026/","фото")</f>
        <v>фото</v>
      </c>
      <c r="H2052" s="22"/>
    </row>
    <row r="2053" spans="1:8" ht="15" x14ac:dyDescent="0.2">
      <c r="A2053" s="18">
        <v>2000000008394</v>
      </c>
      <c r="B2053" s="19" t="s">
        <v>4142</v>
      </c>
      <c r="C2053" s="20" t="s">
        <v>4143</v>
      </c>
      <c r="D2053" s="2">
        <v>1.8</v>
      </c>
      <c r="E2053" s="21"/>
      <c r="F2053" s="2">
        <f t="shared" si="41"/>
        <v>0</v>
      </c>
      <c r="G2053" s="3" t="str">
        <f>HYPERLINK("http://tmmp-catalog.com.ua/katalog/13/16029/","фото")</f>
        <v>фото</v>
      </c>
      <c r="H2053" s="22"/>
    </row>
    <row r="2054" spans="1:8" ht="15" x14ac:dyDescent="0.2">
      <c r="A2054" s="18">
        <v>2000000009414</v>
      </c>
      <c r="B2054" s="19" t="s">
        <v>4144</v>
      </c>
      <c r="C2054" s="20" t="s">
        <v>4145</v>
      </c>
      <c r="D2054" s="2">
        <v>3</v>
      </c>
      <c r="E2054" s="21"/>
      <c r="F2054" s="2">
        <f t="shared" si="41"/>
        <v>0</v>
      </c>
      <c r="G2054" s="3" t="str">
        <f>HYPERLINK("http://tmmp-catalog.com.ua/katalog/13/16657/","фото")</f>
        <v>фото</v>
      </c>
      <c r="H2054" s="22"/>
    </row>
    <row r="2055" spans="1:8" ht="15" x14ac:dyDescent="0.2">
      <c r="A2055" s="18">
        <v>2000000009889</v>
      </c>
      <c r="B2055" s="19" t="s">
        <v>4146</v>
      </c>
      <c r="C2055" s="20" t="s">
        <v>4147</v>
      </c>
      <c r="D2055" s="2">
        <v>5</v>
      </c>
      <c r="E2055" s="21"/>
      <c r="F2055" s="2">
        <f t="shared" si="41"/>
        <v>0</v>
      </c>
      <c r="G2055" s="3" t="str">
        <f>HYPERLINK("http://tmmp-catalog.com.ua/katalog/13/16714/","фото")</f>
        <v>фото</v>
      </c>
      <c r="H2055" s="22"/>
    </row>
    <row r="2056" spans="1:8" ht="15" x14ac:dyDescent="0.2">
      <c r="A2056" s="18">
        <v>2000000005218</v>
      </c>
      <c r="B2056" s="19" t="s">
        <v>4148</v>
      </c>
      <c r="C2056" s="20" t="s">
        <v>4149</v>
      </c>
      <c r="D2056" s="2">
        <v>5.8</v>
      </c>
      <c r="E2056" s="21"/>
      <c r="F2056" s="2">
        <f t="shared" si="41"/>
        <v>0</v>
      </c>
      <c r="G2056" s="3" t="str">
        <f>HYPERLINK("http://tmmp-catalog.com.ua/katalog/13/15702/","фото")</f>
        <v>фото</v>
      </c>
      <c r="H2056" s="22"/>
    </row>
    <row r="2057" spans="1:8" ht="15" x14ac:dyDescent="0.2">
      <c r="A2057" s="18">
        <v>2000000008660</v>
      </c>
      <c r="B2057" s="19" t="s">
        <v>4150</v>
      </c>
      <c r="C2057" s="20" t="s">
        <v>4151</v>
      </c>
      <c r="D2057" s="2">
        <v>1.7</v>
      </c>
      <c r="E2057" s="21"/>
      <c r="F2057" s="2">
        <f t="shared" si="41"/>
        <v>0</v>
      </c>
      <c r="G2057" s="3" t="str">
        <f>HYPERLINK("http://tmmp-catalog.com.ua/katalog/13/16059/","фото")</f>
        <v>фото</v>
      </c>
      <c r="H2057" s="22"/>
    </row>
    <row r="2058" spans="1:8" ht="15" x14ac:dyDescent="0.2">
      <c r="A2058" s="18">
        <v>2000000008677</v>
      </c>
      <c r="B2058" s="19" t="s">
        <v>4152</v>
      </c>
      <c r="C2058" s="20" t="s">
        <v>4153</v>
      </c>
      <c r="D2058" s="2">
        <v>2</v>
      </c>
      <c r="E2058" s="21"/>
      <c r="F2058" s="2">
        <f t="shared" si="41"/>
        <v>0</v>
      </c>
      <c r="G2058" s="3" t="str">
        <f>HYPERLINK("http://tmmp-catalog.com.ua/katalog/13/16060/","фото")</f>
        <v>фото</v>
      </c>
      <c r="H2058" s="22"/>
    </row>
    <row r="2059" spans="1:8" ht="15" x14ac:dyDescent="0.2">
      <c r="A2059" s="18">
        <v>2000000009797</v>
      </c>
      <c r="B2059" s="19" t="s">
        <v>4154</v>
      </c>
      <c r="C2059" s="20" t="s">
        <v>4155</v>
      </c>
      <c r="D2059" s="2">
        <v>1.3</v>
      </c>
      <c r="E2059" s="21"/>
      <c r="F2059" s="2">
        <f t="shared" si="41"/>
        <v>0</v>
      </c>
      <c r="G2059" s="3" t="str">
        <f>HYPERLINK("http://tmmp-catalog.com.ua/katalog/13/16704/","фото")</f>
        <v>фото</v>
      </c>
      <c r="H2059" s="22"/>
    </row>
    <row r="2060" spans="1:8" ht="15" x14ac:dyDescent="0.2">
      <c r="A2060" s="18"/>
      <c r="B2060" s="19" t="s">
        <v>4156</v>
      </c>
      <c r="C2060" s="20" t="s">
        <v>4157</v>
      </c>
      <c r="D2060" s="2">
        <v>0.4</v>
      </c>
      <c r="E2060" s="21"/>
      <c r="F2060" s="2">
        <f t="shared" si="41"/>
        <v>0</v>
      </c>
      <c r="G2060" s="3" t="str">
        <f>HYPERLINK("http://tmmp-catalog.com.ua/katalog/37/18531/","фото")</f>
        <v>фото</v>
      </c>
      <c r="H2060" s="22"/>
    </row>
    <row r="2061" spans="1:8" ht="15" x14ac:dyDescent="0.2">
      <c r="A2061" s="18"/>
      <c r="B2061" s="19" t="s">
        <v>4158</v>
      </c>
      <c r="C2061" s="20" t="s">
        <v>4159</v>
      </c>
      <c r="D2061" s="2">
        <v>3.7</v>
      </c>
      <c r="E2061" s="21"/>
      <c r="F2061" s="2">
        <f t="shared" si="41"/>
        <v>0</v>
      </c>
      <c r="G2061" s="3" t="str">
        <f>HYPERLINK("http://tmmp-catalog.com.ua/katalog/13/18086/","фото")</f>
        <v>фото</v>
      </c>
      <c r="H2061" s="22"/>
    </row>
    <row r="2062" spans="1:8" ht="15" x14ac:dyDescent="0.2">
      <c r="A2062" s="18">
        <v>2000000008943</v>
      </c>
      <c r="B2062" s="19" t="s">
        <v>4160</v>
      </c>
      <c r="C2062" s="20" t="s">
        <v>4161</v>
      </c>
      <c r="D2062" s="2">
        <v>80</v>
      </c>
      <c r="E2062" s="21"/>
      <c r="F2062" s="2">
        <f t="shared" si="41"/>
        <v>0</v>
      </c>
      <c r="G2062" s="3" t="str">
        <f>HYPERLINK("http://tmmp-catalog.com.ua/katalog/13/16087/","фото")</f>
        <v>фото</v>
      </c>
      <c r="H2062" s="22"/>
    </row>
    <row r="2063" spans="1:8" ht="15" x14ac:dyDescent="0.2">
      <c r="A2063" s="18">
        <v>2000000008950</v>
      </c>
      <c r="B2063" s="19" t="s">
        <v>4162</v>
      </c>
      <c r="C2063" s="20" t="s">
        <v>4163</v>
      </c>
      <c r="D2063" s="2">
        <v>105</v>
      </c>
      <c r="E2063" s="21"/>
      <c r="F2063" s="2">
        <f t="shared" si="41"/>
        <v>0</v>
      </c>
      <c r="G2063" s="3" t="str">
        <f>HYPERLINK("http://tmmp-catalog.com.ua/katalog/13/16088/","фото")</f>
        <v>фото</v>
      </c>
      <c r="H2063" s="22"/>
    </row>
    <row r="2064" spans="1:8" ht="15" x14ac:dyDescent="0.2">
      <c r="A2064" s="18">
        <v>2000000008929</v>
      </c>
      <c r="B2064" s="19" t="s">
        <v>4164</v>
      </c>
      <c r="C2064" s="20" t="s">
        <v>4165</v>
      </c>
      <c r="D2064" s="2">
        <v>21</v>
      </c>
      <c r="E2064" s="21"/>
      <c r="F2064" s="2">
        <f t="shared" si="41"/>
        <v>0</v>
      </c>
      <c r="G2064" s="3" t="str">
        <f>HYPERLINK("http://tmmp-catalog.com.ua/katalog/13/16085/","фото")</f>
        <v>фото</v>
      </c>
      <c r="H2064" s="22"/>
    </row>
    <row r="2065" spans="1:8" ht="15" x14ac:dyDescent="0.2">
      <c r="A2065" s="18">
        <v>2000000008974</v>
      </c>
      <c r="B2065" s="19" t="s">
        <v>4166</v>
      </c>
      <c r="C2065" s="20" t="s">
        <v>4167</v>
      </c>
      <c r="D2065" s="2">
        <v>80</v>
      </c>
      <c r="E2065" s="21"/>
      <c r="F2065" s="2">
        <f t="shared" si="41"/>
        <v>0</v>
      </c>
      <c r="G2065" s="3" t="str">
        <f>HYPERLINK("http://tmmp-catalog.com.ua/katalog/13/16090/","фото")</f>
        <v>фото</v>
      </c>
      <c r="H2065" s="22"/>
    </row>
    <row r="2066" spans="1:8" ht="15" x14ac:dyDescent="0.2">
      <c r="A2066" s="18">
        <v>2000000008912</v>
      </c>
      <c r="B2066" s="19" t="s">
        <v>4168</v>
      </c>
      <c r="C2066" s="20" t="s">
        <v>4169</v>
      </c>
      <c r="D2066" s="2">
        <v>24</v>
      </c>
      <c r="E2066" s="21"/>
      <c r="F2066" s="2">
        <f t="shared" si="41"/>
        <v>0</v>
      </c>
      <c r="G2066" s="3" t="str">
        <f>HYPERLINK("http://tmmp-catalog.com.ua/katalog/13/16084/","фото")</f>
        <v>фото</v>
      </c>
      <c r="H2066" s="22"/>
    </row>
    <row r="2067" spans="1:8" ht="15" x14ac:dyDescent="0.2">
      <c r="A2067" s="18"/>
      <c r="B2067" s="19" t="s">
        <v>4170</v>
      </c>
      <c r="C2067" s="20" t="s">
        <v>4171</v>
      </c>
      <c r="D2067" s="2">
        <v>27</v>
      </c>
      <c r="E2067" s="21"/>
      <c r="F2067" s="2">
        <f t="shared" si="41"/>
        <v>0</v>
      </c>
      <c r="G2067" s="3" t="str">
        <f>HYPERLINK("http://tmmp-catalog.com.ua/katalog/13/17336/","фото")</f>
        <v>фото</v>
      </c>
      <c r="H2067" s="22"/>
    </row>
    <row r="2068" spans="1:8" ht="15" x14ac:dyDescent="0.2">
      <c r="A2068" s="18">
        <v>2000000008936</v>
      </c>
      <c r="B2068" s="19" t="s">
        <v>4172</v>
      </c>
      <c r="C2068" s="20" t="s">
        <v>4173</v>
      </c>
      <c r="D2068" s="2">
        <v>46</v>
      </c>
      <c r="E2068" s="21"/>
      <c r="F2068" s="2">
        <f t="shared" si="41"/>
        <v>0</v>
      </c>
      <c r="G2068" s="3" t="str">
        <f>HYPERLINK("http://tmmp-catalog.com.ua/katalog/13/16086/","фото")</f>
        <v>фото</v>
      </c>
      <c r="H2068" s="22"/>
    </row>
    <row r="2069" spans="1:8" ht="15" x14ac:dyDescent="0.2">
      <c r="A2069" s="18">
        <v>2000000008998</v>
      </c>
      <c r="B2069" s="19" t="s">
        <v>4174</v>
      </c>
      <c r="C2069" s="20" t="s">
        <v>4175</v>
      </c>
      <c r="D2069" s="2">
        <v>2.5</v>
      </c>
      <c r="E2069" s="21"/>
      <c r="F2069" s="2">
        <f t="shared" si="41"/>
        <v>0</v>
      </c>
      <c r="G2069" s="3" t="str">
        <f>HYPERLINK("http://tmmp-catalog.com.ua/katalog/13/16092/","фото")</f>
        <v>фото</v>
      </c>
      <c r="H2069" s="22"/>
    </row>
    <row r="2070" spans="1:8" ht="15" x14ac:dyDescent="0.2">
      <c r="A2070" s="18">
        <v>2000000009001</v>
      </c>
      <c r="B2070" s="19" t="s">
        <v>4176</v>
      </c>
      <c r="C2070" s="20" t="s">
        <v>4177</v>
      </c>
      <c r="D2070" s="2">
        <v>3</v>
      </c>
      <c r="E2070" s="21"/>
      <c r="F2070" s="2">
        <f t="shared" si="41"/>
        <v>0</v>
      </c>
      <c r="G2070" s="3" t="str">
        <f>HYPERLINK("http://tmmp-catalog.com.ua/katalog/13/16093/","фото")</f>
        <v>фото</v>
      </c>
      <c r="H2070" s="22"/>
    </row>
    <row r="2071" spans="1:8" ht="15" x14ac:dyDescent="0.2">
      <c r="A2071" s="18">
        <v>2000000009063</v>
      </c>
      <c r="B2071" s="19" t="s">
        <v>4178</v>
      </c>
      <c r="C2071" s="20" t="s">
        <v>4179</v>
      </c>
      <c r="D2071" s="2">
        <v>10</v>
      </c>
      <c r="E2071" s="21"/>
      <c r="F2071" s="2">
        <f t="shared" si="41"/>
        <v>0</v>
      </c>
      <c r="G2071" s="3" t="str">
        <f>HYPERLINK("http://tmmp-catalog.com.ua/katalog/13/16099/","фото")</f>
        <v>фото</v>
      </c>
      <c r="H2071" s="22"/>
    </row>
    <row r="2072" spans="1:8" ht="15" x14ac:dyDescent="0.2">
      <c r="A2072" s="18">
        <v>2000000009100</v>
      </c>
      <c r="B2072" s="19" t="s">
        <v>4180</v>
      </c>
      <c r="C2072" s="20" t="s">
        <v>4181</v>
      </c>
      <c r="D2072" s="2">
        <v>7</v>
      </c>
      <c r="E2072" s="21"/>
      <c r="F2072" s="2">
        <f t="shared" si="41"/>
        <v>0</v>
      </c>
      <c r="G2072" s="3" t="str">
        <f>HYPERLINK("http://tmmp-catalog.com.ua/katalog/13/16103/","фото")</f>
        <v>фото</v>
      </c>
      <c r="H2072" s="22"/>
    </row>
    <row r="2073" spans="1:8" ht="15" x14ac:dyDescent="0.2">
      <c r="A2073" s="18">
        <v>2000000009148</v>
      </c>
      <c r="B2073" s="19" t="s">
        <v>4182</v>
      </c>
      <c r="C2073" s="20" t="s">
        <v>4183</v>
      </c>
      <c r="D2073" s="2">
        <v>7</v>
      </c>
      <c r="E2073" s="21"/>
      <c r="F2073" s="2">
        <f t="shared" si="41"/>
        <v>0</v>
      </c>
      <c r="G2073" s="3" t="str">
        <f>HYPERLINK("http://tmmp-catalog.com.ua/katalog/13/16107/","фото")</f>
        <v>фото</v>
      </c>
      <c r="H2073" s="22"/>
    </row>
    <row r="2074" spans="1:8" ht="15" x14ac:dyDescent="0.2">
      <c r="A2074" s="18">
        <v>2000000009162</v>
      </c>
      <c r="B2074" s="19" t="s">
        <v>4184</v>
      </c>
      <c r="C2074" s="20" t="s">
        <v>4185</v>
      </c>
      <c r="D2074" s="2">
        <v>7.8</v>
      </c>
      <c r="E2074" s="21"/>
      <c r="F2074" s="2">
        <f t="shared" si="41"/>
        <v>0</v>
      </c>
      <c r="G2074" s="3" t="str">
        <f>HYPERLINK("http://tmmp-catalog.com.ua/katalog/13/16109/","фото")</f>
        <v>фото</v>
      </c>
      <c r="H2074" s="22"/>
    </row>
    <row r="2075" spans="1:8" ht="15" x14ac:dyDescent="0.2">
      <c r="A2075" s="18">
        <v>2000000009179</v>
      </c>
      <c r="B2075" s="19" t="s">
        <v>4186</v>
      </c>
      <c r="C2075" s="20" t="s">
        <v>4187</v>
      </c>
      <c r="D2075" s="2">
        <v>4</v>
      </c>
      <c r="E2075" s="21"/>
      <c r="F2075" s="2">
        <f t="shared" si="41"/>
        <v>0</v>
      </c>
      <c r="G2075" s="3" t="str">
        <f>HYPERLINK("http://tmmp-catalog.com.ua/katalog/13/16110/","фото")</f>
        <v>фото</v>
      </c>
      <c r="H2075" s="22"/>
    </row>
    <row r="2076" spans="1:8" ht="15" x14ac:dyDescent="0.2">
      <c r="A2076" s="18">
        <v>2000000009193</v>
      </c>
      <c r="B2076" s="19" t="s">
        <v>4188</v>
      </c>
      <c r="C2076" s="20" t="s">
        <v>4189</v>
      </c>
      <c r="D2076" s="2">
        <v>2</v>
      </c>
      <c r="E2076" s="21"/>
      <c r="F2076" s="2">
        <f t="shared" si="41"/>
        <v>0</v>
      </c>
      <c r="G2076" s="3" t="str">
        <f>HYPERLINK("http://tmmp-catalog.com.ua/katalog/13/16112/","фото")</f>
        <v>фото</v>
      </c>
      <c r="H2076" s="22"/>
    </row>
    <row r="2077" spans="1:8" ht="15" x14ac:dyDescent="0.2">
      <c r="A2077" s="18">
        <v>2000000009223</v>
      </c>
      <c r="B2077" s="19" t="s">
        <v>4190</v>
      </c>
      <c r="C2077" s="20" t="s">
        <v>4191</v>
      </c>
      <c r="D2077" s="2">
        <v>0.05</v>
      </c>
      <c r="E2077" s="21"/>
      <c r="F2077" s="2">
        <f t="shared" si="41"/>
        <v>0</v>
      </c>
      <c r="G2077" s="3" t="str">
        <f>HYPERLINK("http://tmmp-catalog.com.ua/katalog/13/16115/","фото")</f>
        <v>фото</v>
      </c>
      <c r="H2077" s="22"/>
    </row>
    <row r="2078" spans="1:8" ht="15" x14ac:dyDescent="0.2">
      <c r="A2078" s="18">
        <v>2000000009230</v>
      </c>
      <c r="B2078" s="19" t="s">
        <v>4192</v>
      </c>
      <c r="C2078" s="20" t="s">
        <v>4193</v>
      </c>
      <c r="D2078" s="2">
        <v>0.05</v>
      </c>
      <c r="E2078" s="21"/>
      <c r="F2078" s="2">
        <f t="shared" si="41"/>
        <v>0</v>
      </c>
      <c r="G2078" s="3" t="str">
        <f>HYPERLINK("http://tmmp-catalog.com.ua/katalog/13/16116/","фото")</f>
        <v>фото</v>
      </c>
      <c r="H2078" s="22"/>
    </row>
    <row r="2079" spans="1:8" ht="15" x14ac:dyDescent="0.2">
      <c r="A2079" s="18">
        <v>2000000009247</v>
      </c>
      <c r="B2079" s="19" t="s">
        <v>4194</v>
      </c>
      <c r="C2079" s="20" t="s">
        <v>4195</v>
      </c>
      <c r="D2079" s="2">
        <v>0.7</v>
      </c>
      <c r="E2079" s="21"/>
      <c r="F2079" s="2">
        <f t="shared" si="41"/>
        <v>0</v>
      </c>
      <c r="G2079" s="3" t="str">
        <f>HYPERLINK("http://tmmp-catalog.com.ua/katalog/13/16117/","фото")</f>
        <v>фото</v>
      </c>
      <c r="H2079" s="22"/>
    </row>
    <row r="2080" spans="1:8" ht="15" x14ac:dyDescent="0.2">
      <c r="A2080" s="18">
        <v>2000000009254</v>
      </c>
      <c r="B2080" s="19" t="s">
        <v>4196</v>
      </c>
      <c r="C2080" s="20" t="s">
        <v>4197</v>
      </c>
      <c r="D2080" s="2">
        <v>0.9</v>
      </c>
      <c r="E2080" s="21"/>
      <c r="F2080" s="2">
        <f t="shared" si="41"/>
        <v>0</v>
      </c>
      <c r="G2080" s="3" t="str">
        <f>HYPERLINK("http://tmmp-catalog.com.ua/katalog/13/16118/","фото")</f>
        <v>фото</v>
      </c>
      <c r="H2080" s="22"/>
    </row>
    <row r="2081" spans="1:8" ht="15" x14ac:dyDescent="0.2">
      <c r="A2081" s="18">
        <v>2000000009612</v>
      </c>
      <c r="B2081" s="19" t="s">
        <v>4198</v>
      </c>
      <c r="C2081" s="20" t="s">
        <v>4199</v>
      </c>
      <c r="D2081" s="2">
        <v>0.4</v>
      </c>
      <c r="E2081" s="21"/>
      <c r="F2081" s="2">
        <f t="shared" si="41"/>
        <v>0</v>
      </c>
      <c r="G2081" s="3" t="str">
        <f>HYPERLINK("http://tmmp-catalog.com.ua/katalog/13/16684/","фото")</f>
        <v>фото</v>
      </c>
      <c r="H2081" s="22"/>
    </row>
    <row r="2082" spans="1:8" ht="15" x14ac:dyDescent="0.2">
      <c r="A2082" s="18">
        <v>2000000009308</v>
      </c>
      <c r="B2082" s="19" t="s">
        <v>4200</v>
      </c>
      <c r="C2082" s="20" t="s">
        <v>4201</v>
      </c>
      <c r="D2082" s="2">
        <v>8</v>
      </c>
      <c r="E2082" s="21"/>
      <c r="F2082" s="2">
        <f t="shared" si="41"/>
        <v>0</v>
      </c>
      <c r="G2082" s="3" t="str">
        <f>HYPERLINK("http://tmmp-catalog.com.ua/katalog/13/16123/","фото")</f>
        <v>фото</v>
      </c>
      <c r="H2082" s="22"/>
    </row>
    <row r="2083" spans="1:8" ht="15" x14ac:dyDescent="0.2">
      <c r="A2083" s="18">
        <v>2000000009278</v>
      </c>
      <c r="B2083" s="19" t="s">
        <v>4202</v>
      </c>
      <c r="C2083" s="20" t="s">
        <v>4203</v>
      </c>
      <c r="D2083" s="2">
        <v>5</v>
      </c>
      <c r="E2083" s="21"/>
      <c r="F2083" s="2">
        <f t="shared" si="41"/>
        <v>0</v>
      </c>
      <c r="G2083" s="3" t="str">
        <f>HYPERLINK("http://tmmp-catalog.com.ua/katalog/13/16120/","фото")</f>
        <v>фото</v>
      </c>
      <c r="H2083" s="22"/>
    </row>
    <row r="2084" spans="1:8" ht="15" x14ac:dyDescent="0.2">
      <c r="A2084" s="18">
        <v>2000000009285</v>
      </c>
      <c r="B2084" s="19" t="s">
        <v>4204</v>
      </c>
      <c r="C2084" s="20" t="s">
        <v>4205</v>
      </c>
      <c r="D2084" s="2">
        <v>5</v>
      </c>
      <c r="E2084" s="21"/>
      <c r="F2084" s="2">
        <f t="shared" si="41"/>
        <v>0</v>
      </c>
      <c r="G2084" s="3" t="str">
        <f>HYPERLINK("http://tmmp-catalog.com.ua/katalog/13/16121/","фото")</f>
        <v>фото</v>
      </c>
      <c r="H2084" s="22"/>
    </row>
    <row r="2085" spans="1:8" ht="15" x14ac:dyDescent="0.2">
      <c r="A2085" s="18">
        <v>2000000009292</v>
      </c>
      <c r="B2085" s="19" t="s">
        <v>4206</v>
      </c>
      <c r="C2085" s="20" t="s">
        <v>4207</v>
      </c>
      <c r="D2085" s="2">
        <v>5</v>
      </c>
      <c r="E2085" s="21"/>
      <c r="F2085" s="2">
        <f t="shared" si="41"/>
        <v>0</v>
      </c>
      <c r="G2085" s="3" t="str">
        <f>HYPERLINK("http://tmmp-catalog.com.ua/katalog/13/16122/","фото")</f>
        <v>фото</v>
      </c>
      <c r="H2085" s="22"/>
    </row>
    <row r="2086" spans="1:8" ht="23.25" x14ac:dyDescent="0.2">
      <c r="A2086" s="18"/>
      <c r="B2086" s="51"/>
      <c r="C2086" s="56" t="s">
        <v>25</v>
      </c>
      <c r="D2086" s="52"/>
      <c r="E2086" s="53"/>
      <c r="F2086" s="52"/>
      <c r="G2086" s="54"/>
      <c r="H2086" s="55"/>
    </row>
    <row r="2087" spans="1:8" ht="15" x14ac:dyDescent="0.2">
      <c r="A2087" s="18"/>
      <c r="B2087" s="19" t="s">
        <v>4208</v>
      </c>
      <c r="C2087" s="20" t="s">
        <v>4209</v>
      </c>
      <c r="D2087" s="2">
        <v>0.2</v>
      </c>
      <c r="E2087" s="21"/>
      <c r="F2087" s="2">
        <f t="shared" ref="F2087:F2114" si="42">cena*zakaz</f>
        <v>0</v>
      </c>
      <c r="G2087" s="3" t="str">
        <f>HYPERLINK("http://tmmp-catalog.com.ua/katalog/38/17823/","фото")</f>
        <v>фото</v>
      </c>
      <c r="H2087" s="22"/>
    </row>
    <row r="2088" spans="1:8" ht="15" x14ac:dyDescent="0.2">
      <c r="A2088" s="18"/>
      <c r="B2088" s="19" t="s">
        <v>4210</v>
      </c>
      <c r="C2088" s="20" t="s">
        <v>4211</v>
      </c>
      <c r="D2088" s="2">
        <v>1</v>
      </c>
      <c r="E2088" s="21"/>
      <c r="F2088" s="2">
        <f t="shared" si="42"/>
        <v>0</v>
      </c>
      <c r="G2088" s="3" t="str">
        <f>HYPERLINK("http://tmmp-catalog.com.ua/katalog/38/17827/","фото")</f>
        <v>фото</v>
      </c>
      <c r="H2088" s="22"/>
    </row>
    <row r="2089" spans="1:8" ht="15" x14ac:dyDescent="0.2">
      <c r="A2089" s="18"/>
      <c r="B2089" s="19" t="s">
        <v>4212</v>
      </c>
      <c r="C2089" s="20" t="s">
        <v>4213</v>
      </c>
      <c r="D2089" s="2">
        <v>100</v>
      </c>
      <c r="E2089" s="21"/>
      <c r="F2089" s="2">
        <f t="shared" si="42"/>
        <v>0</v>
      </c>
      <c r="G2089" s="3" t="str">
        <f>HYPERLINK("http://tmmp-catalog.com.ua/katalog/38/17540/","фото")</f>
        <v>фото</v>
      </c>
      <c r="H2089" s="22"/>
    </row>
    <row r="2090" spans="1:8" ht="15" x14ac:dyDescent="0.2">
      <c r="A2090" s="18"/>
      <c r="B2090" s="19" t="s">
        <v>4214</v>
      </c>
      <c r="C2090" s="20" t="s">
        <v>4215</v>
      </c>
      <c r="D2090" s="2">
        <v>1</v>
      </c>
      <c r="E2090" s="21"/>
      <c r="F2090" s="2">
        <f t="shared" si="42"/>
        <v>0</v>
      </c>
      <c r="G2090" s="3" t="str">
        <f>HYPERLINK("http://tmmp-catalog.com.ua/katalog/38/17909/","фото")</f>
        <v>фото</v>
      </c>
      <c r="H2090" s="22"/>
    </row>
    <row r="2091" spans="1:8" ht="15" x14ac:dyDescent="0.2">
      <c r="A2091" s="18"/>
      <c r="B2091" s="19" t="s">
        <v>4216</v>
      </c>
      <c r="C2091" s="20" t="s">
        <v>4217</v>
      </c>
      <c r="D2091" s="2">
        <v>485</v>
      </c>
      <c r="E2091" s="21"/>
      <c r="F2091" s="2">
        <f t="shared" si="42"/>
        <v>0</v>
      </c>
      <c r="G2091" s="3" t="str">
        <f>HYPERLINK("http://tmmp-catalog.com.ua/katalog/38/18874/","фото")</f>
        <v>фото</v>
      </c>
      <c r="H2091" s="22"/>
    </row>
    <row r="2092" spans="1:8" ht="15" x14ac:dyDescent="0.2">
      <c r="A2092" s="18"/>
      <c r="B2092" s="19" t="s">
        <v>4218</v>
      </c>
      <c r="C2092" s="20" t="s">
        <v>4219</v>
      </c>
      <c r="D2092" s="2">
        <v>660</v>
      </c>
      <c r="E2092" s="21"/>
      <c r="F2092" s="2">
        <f t="shared" si="42"/>
        <v>0</v>
      </c>
      <c r="G2092" s="3" t="str">
        <f>HYPERLINK("http://tmmp-catalog.com.ua/katalog/38/18875/","фото")</f>
        <v>фото</v>
      </c>
      <c r="H2092" s="22"/>
    </row>
    <row r="2093" spans="1:8" ht="15" x14ac:dyDescent="0.2">
      <c r="A2093" s="18"/>
      <c r="B2093" s="19" t="s">
        <v>4220</v>
      </c>
      <c r="C2093" s="20" t="s">
        <v>4221</v>
      </c>
      <c r="D2093" s="2">
        <v>1.5</v>
      </c>
      <c r="E2093" s="21"/>
      <c r="F2093" s="2">
        <f t="shared" si="42"/>
        <v>0</v>
      </c>
      <c r="G2093" s="3" t="str">
        <f>HYPERLINK("http://tmmp-catalog.com.ua/katalog/38/17830/","фото")</f>
        <v>фото</v>
      </c>
      <c r="H2093" s="22"/>
    </row>
    <row r="2094" spans="1:8" ht="15" x14ac:dyDescent="0.2">
      <c r="A2094" s="18"/>
      <c r="B2094" s="19" t="s">
        <v>4222</v>
      </c>
      <c r="C2094" s="20" t="s">
        <v>4223</v>
      </c>
      <c r="D2094" s="2">
        <v>1</v>
      </c>
      <c r="E2094" s="21"/>
      <c r="F2094" s="2">
        <f t="shared" si="42"/>
        <v>0</v>
      </c>
      <c r="G2094" s="3" t="str">
        <f>HYPERLINK("http://tmmp-catalog.com.ua/katalog/38/17834/","фото")</f>
        <v>фото</v>
      </c>
      <c r="H2094" s="22"/>
    </row>
    <row r="2095" spans="1:8" ht="15" x14ac:dyDescent="0.2">
      <c r="A2095" s="18"/>
      <c r="B2095" s="19" t="s">
        <v>4224</v>
      </c>
      <c r="C2095" s="20" t="s">
        <v>4225</v>
      </c>
      <c r="D2095" s="2">
        <v>11</v>
      </c>
      <c r="E2095" s="21"/>
      <c r="F2095" s="2">
        <f t="shared" si="42"/>
        <v>0</v>
      </c>
      <c r="G2095" s="3" t="str">
        <f>HYPERLINK("http://tmmp-catalog.com.ua/katalog/38/17837/","фото")</f>
        <v>фото</v>
      </c>
      <c r="H2095" s="22"/>
    </row>
    <row r="2096" spans="1:8" ht="15" x14ac:dyDescent="0.2">
      <c r="A2096" s="18"/>
      <c r="B2096" s="19" t="s">
        <v>4226</v>
      </c>
      <c r="C2096" s="20" t="s">
        <v>4227</v>
      </c>
      <c r="D2096" s="2">
        <v>0.7</v>
      </c>
      <c r="E2096" s="21"/>
      <c r="F2096" s="2">
        <f t="shared" si="42"/>
        <v>0</v>
      </c>
      <c r="G2096" s="3" t="str">
        <f>HYPERLINK("http://tmmp-catalog.com.ua/katalog/38/17841/","фото")</f>
        <v>фото</v>
      </c>
      <c r="H2096" s="22"/>
    </row>
    <row r="2097" spans="1:8" ht="15" x14ac:dyDescent="0.2">
      <c r="A2097" s="18"/>
      <c r="B2097" s="19" t="s">
        <v>4228</v>
      </c>
      <c r="C2097" s="20" t="s">
        <v>4229</v>
      </c>
      <c r="D2097" s="2">
        <v>0.7</v>
      </c>
      <c r="E2097" s="21"/>
      <c r="F2097" s="2">
        <f t="shared" si="42"/>
        <v>0</v>
      </c>
      <c r="G2097" s="3" t="str">
        <f>HYPERLINK("http://tmmp-catalog.com.ua/katalog/38/17844/","фото")</f>
        <v>фото</v>
      </c>
      <c r="H2097" s="22"/>
    </row>
    <row r="2098" spans="1:8" ht="15" x14ac:dyDescent="0.2">
      <c r="A2098" s="18"/>
      <c r="B2098" s="19" t="s">
        <v>4230</v>
      </c>
      <c r="C2098" s="20" t="s">
        <v>4231</v>
      </c>
      <c r="D2098" s="2">
        <v>0.5</v>
      </c>
      <c r="E2098" s="21"/>
      <c r="F2098" s="2">
        <f t="shared" si="42"/>
        <v>0</v>
      </c>
      <c r="G2098" s="3" t="str">
        <f>HYPERLINK("http://tmmp-catalog.com.ua/katalog/38/17847/","фото")</f>
        <v>фото</v>
      </c>
      <c r="H2098" s="22"/>
    </row>
    <row r="2099" spans="1:8" ht="15" x14ac:dyDescent="0.2">
      <c r="A2099" s="18"/>
      <c r="B2099" s="19" t="s">
        <v>4232</v>
      </c>
      <c r="C2099" s="20" t="s">
        <v>4233</v>
      </c>
      <c r="D2099" s="2">
        <v>0.8</v>
      </c>
      <c r="E2099" s="21"/>
      <c r="F2099" s="2">
        <f t="shared" si="42"/>
        <v>0</v>
      </c>
      <c r="G2099" s="3" t="str">
        <f>HYPERLINK("http://tmmp-catalog.com.ua/katalog/38/17851/","фото")</f>
        <v>фото</v>
      </c>
      <c r="H2099" s="22"/>
    </row>
    <row r="2100" spans="1:8" ht="15" x14ac:dyDescent="0.2">
      <c r="A2100" s="18"/>
      <c r="B2100" s="19" t="s">
        <v>4234</v>
      </c>
      <c r="C2100" s="20" t="s">
        <v>4235</v>
      </c>
      <c r="D2100" s="2">
        <v>0.3</v>
      </c>
      <c r="E2100" s="21"/>
      <c r="F2100" s="2">
        <f t="shared" si="42"/>
        <v>0</v>
      </c>
      <c r="G2100" s="3" t="str">
        <f>HYPERLINK("http://tmmp-catalog.com.ua/katalog/38/17854/","фото")</f>
        <v>фото</v>
      </c>
      <c r="H2100" s="22"/>
    </row>
    <row r="2101" spans="1:8" ht="15" x14ac:dyDescent="0.2">
      <c r="A2101" s="18"/>
      <c r="B2101" s="19" t="s">
        <v>4236</v>
      </c>
      <c r="C2101" s="20" t="s">
        <v>4237</v>
      </c>
      <c r="D2101" s="2">
        <v>1</v>
      </c>
      <c r="E2101" s="21"/>
      <c r="F2101" s="2">
        <f t="shared" si="42"/>
        <v>0</v>
      </c>
      <c r="G2101" s="3" t="str">
        <f>HYPERLINK("http://tmmp-catalog.com.ua/katalog/38/17856/","фото")</f>
        <v>фото</v>
      </c>
      <c r="H2101" s="22"/>
    </row>
    <row r="2102" spans="1:8" ht="15" x14ac:dyDescent="0.2">
      <c r="A2102" s="18"/>
      <c r="B2102" s="19" t="s">
        <v>4238</v>
      </c>
      <c r="C2102" s="20" t="s">
        <v>4239</v>
      </c>
      <c r="D2102" s="2">
        <v>3</v>
      </c>
      <c r="E2102" s="21"/>
      <c r="F2102" s="2">
        <f t="shared" si="42"/>
        <v>0</v>
      </c>
      <c r="G2102" s="3" t="str">
        <f>HYPERLINK("http://tmmp-catalog.com.ua/katalog/38/17858/","фото")</f>
        <v>фото</v>
      </c>
      <c r="H2102" s="22"/>
    </row>
    <row r="2103" spans="1:8" ht="15" x14ac:dyDescent="0.2">
      <c r="A2103" s="18"/>
      <c r="B2103" s="19" t="s">
        <v>4240</v>
      </c>
      <c r="C2103" s="20" t="s">
        <v>4241</v>
      </c>
      <c r="D2103" s="2">
        <v>3</v>
      </c>
      <c r="E2103" s="21"/>
      <c r="F2103" s="2">
        <f t="shared" si="42"/>
        <v>0</v>
      </c>
      <c r="G2103" s="3" t="str">
        <f>HYPERLINK("http://tmmp-catalog.com.ua/katalog/38/17859/","фото")</f>
        <v>фото</v>
      </c>
      <c r="H2103" s="22"/>
    </row>
    <row r="2104" spans="1:8" ht="15" x14ac:dyDescent="0.2">
      <c r="A2104" s="18"/>
      <c r="B2104" s="19" t="s">
        <v>4242</v>
      </c>
      <c r="C2104" s="20" t="s">
        <v>4243</v>
      </c>
      <c r="D2104" s="2">
        <v>3</v>
      </c>
      <c r="E2104" s="21"/>
      <c r="F2104" s="2">
        <f t="shared" si="42"/>
        <v>0</v>
      </c>
      <c r="G2104" s="3" t="str">
        <f>HYPERLINK("http://tmmp-catalog.com.ua/katalog/38/17861/","фото")</f>
        <v>фото</v>
      </c>
      <c r="H2104" s="22"/>
    </row>
    <row r="2105" spans="1:8" ht="15" x14ac:dyDescent="0.2">
      <c r="A2105" s="18"/>
      <c r="B2105" s="19" t="s">
        <v>4244</v>
      </c>
      <c r="C2105" s="20" t="s">
        <v>4245</v>
      </c>
      <c r="D2105" s="2">
        <v>3</v>
      </c>
      <c r="E2105" s="21"/>
      <c r="F2105" s="2">
        <f t="shared" si="42"/>
        <v>0</v>
      </c>
      <c r="G2105" s="3" t="str">
        <f>HYPERLINK("http://tmmp-catalog.com.ua/katalog/38/17862/","фото")</f>
        <v>фото</v>
      </c>
      <c r="H2105" s="22"/>
    </row>
    <row r="2106" spans="1:8" ht="15" x14ac:dyDescent="0.2">
      <c r="A2106" s="18"/>
      <c r="B2106" s="19" t="s">
        <v>4246</v>
      </c>
      <c r="C2106" s="20" t="s">
        <v>4247</v>
      </c>
      <c r="D2106" s="2">
        <v>0.2</v>
      </c>
      <c r="E2106" s="21"/>
      <c r="F2106" s="2">
        <f t="shared" si="42"/>
        <v>0</v>
      </c>
      <c r="G2106" s="3" t="str">
        <f>HYPERLINK("http://tmmp-catalog.com.ua/katalog/38/17913/","фото")</f>
        <v>фото</v>
      </c>
      <c r="H2106" s="22"/>
    </row>
    <row r="2107" spans="1:8" ht="15" x14ac:dyDescent="0.2">
      <c r="A2107" s="18"/>
      <c r="B2107" s="19" t="s">
        <v>4248</v>
      </c>
      <c r="C2107" s="20" t="s">
        <v>4249</v>
      </c>
      <c r="D2107" s="2">
        <v>0.1</v>
      </c>
      <c r="E2107" s="21"/>
      <c r="F2107" s="2">
        <f t="shared" si="42"/>
        <v>0</v>
      </c>
      <c r="G2107" s="3" t="str">
        <f>HYPERLINK("http://tmmp-catalog.com.ua/katalog/38/17846/","фото")</f>
        <v>фото</v>
      </c>
      <c r="H2107" s="22"/>
    </row>
    <row r="2108" spans="1:8" ht="15" x14ac:dyDescent="0.2">
      <c r="A2108" s="18"/>
      <c r="B2108" s="19" t="s">
        <v>4250</v>
      </c>
      <c r="C2108" s="20" t="s">
        <v>4251</v>
      </c>
      <c r="D2108" s="2">
        <v>0.8</v>
      </c>
      <c r="E2108" s="21"/>
      <c r="F2108" s="2">
        <f t="shared" si="42"/>
        <v>0</v>
      </c>
      <c r="G2108" s="3" t="str">
        <f>HYPERLINK("http://tmmp-catalog.com.ua/katalog/38/17885/","фото")</f>
        <v>фото</v>
      </c>
      <c r="H2108" s="22"/>
    </row>
    <row r="2109" spans="1:8" ht="15" x14ac:dyDescent="0.2">
      <c r="A2109" s="18"/>
      <c r="B2109" s="19" t="s">
        <v>4252</v>
      </c>
      <c r="C2109" s="20" t="s">
        <v>4253</v>
      </c>
      <c r="D2109" s="2">
        <v>0.7</v>
      </c>
      <c r="E2109" s="21"/>
      <c r="F2109" s="2">
        <f t="shared" si="42"/>
        <v>0</v>
      </c>
      <c r="G2109" s="3" t="str">
        <f>HYPERLINK("http://tmmp-catalog.com.ua/katalog/38/17887/","фото")</f>
        <v>фото</v>
      </c>
      <c r="H2109" s="22"/>
    </row>
    <row r="2110" spans="1:8" ht="15" x14ac:dyDescent="0.2">
      <c r="A2110" s="18"/>
      <c r="B2110" s="19" t="s">
        <v>4254</v>
      </c>
      <c r="C2110" s="20" t="s">
        <v>4255</v>
      </c>
      <c r="D2110" s="2">
        <v>0.1</v>
      </c>
      <c r="E2110" s="21"/>
      <c r="F2110" s="2">
        <f t="shared" si="42"/>
        <v>0</v>
      </c>
      <c r="G2110" s="3" t="str">
        <f>HYPERLINK("http://tmmp-catalog.com.ua/katalog/38/17891/","фото")</f>
        <v>фото</v>
      </c>
      <c r="H2110" s="22"/>
    </row>
    <row r="2111" spans="1:8" ht="15" x14ac:dyDescent="0.2">
      <c r="A2111" s="18"/>
      <c r="B2111" s="19" t="s">
        <v>4256</v>
      </c>
      <c r="C2111" s="20" t="s">
        <v>4257</v>
      </c>
      <c r="D2111" s="2">
        <v>1</v>
      </c>
      <c r="E2111" s="21"/>
      <c r="F2111" s="2">
        <f t="shared" si="42"/>
        <v>0</v>
      </c>
      <c r="G2111" s="3" t="str">
        <f>HYPERLINK("http://tmmp-catalog.com.ua/katalog/38/17908/","фото")</f>
        <v>фото</v>
      </c>
      <c r="H2111" s="22"/>
    </row>
    <row r="2112" spans="1:8" ht="15" x14ac:dyDescent="0.2">
      <c r="A2112" s="18"/>
      <c r="B2112" s="19" t="s">
        <v>4258</v>
      </c>
      <c r="C2112" s="20" t="s">
        <v>4259</v>
      </c>
      <c r="D2112" s="2">
        <v>2</v>
      </c>
      <c r="E2112" s="21"/>
      <c r="F2112" s="2">
        <f t="shared" si="42"/>
        <v>0</v>
      </c>
      <c r="G2112" s="3" t="str">
        <f>HYPERLINK("http://tmmp-catalog.com.ua/katalog/38/17896/","фото")</f>
        <v>фото</v>
      </c>
      <c r="H2112" s="22"/>
    </row>
    <row r="2113" spans="1:8" ht="15" x14ac:dyDescent="0.2">
      <c r="A2113" s="18"/>
      <c r="B2113" s="19" t="s">
        <v>4260</v>
      </c>
      <c r="C2113" s="20" t="s">
        <v>4261</v>
      </c>
      <c r="D2113" s="2">
        <v>0.4</v>
      </c>
      <c r="E2113" s="21"/>
      <c r="F2113" s="2">
        <f t="shared" si="42"/>
        <v>0</v>
      </c>
      <c r="G2113" s="3" t="str">
        <f>HYPERLINK("http://tmmp-catalog.com.ua/katalog/38/17899/","фото")</f>
        <v>фото</v>
      </c>
      <c r="H2113" s="22"/>
    </row>
    <row r="2114" spans="1:8" ht="15" x14ac:dyDescent="0.2">
      <c r="A2114" s="18"/>
      <c r="B2114" s="19" t="s">
        <v>4262</v>
      </c>
      <c r="C2114" s="20" t="s">
        <v>4263</v>
      </c>
      <c r="D2114" s="2">
        <v>0.1</v>
      </c>
      <c r="E2114" s="21"/>
      <c r="F2114" s="2">
        <f t="shared" si="42"/>
        <v>0</v>
      </c>
      <c r="G2114" s="3" t="str">
        <f>HYPERLINK("http://tmmp-catalog.com.ua/katalog/38/17900/","фото")</f>
        <v>фото</v>
      </c>
      <c r="H2114" s="22"/>
    </row>
    <row r="2115" spans="1:8" ht="23.25" x14ac:dyDescent="0.2">
      <c r="A2115" s="18"/>
      <c r="B2115" s="51"/>
      <c r="C2115" s="56" t="s">
        <v>12</v>
      </c>
      <c r="D2115" s="52"/>
      <c r="E2115" s="53"/>
      <c r="F2115" s="52"/>
      <c r="G2115" s="54"/>
      <c r="H2115" s="55"/>
    </row>
    <row r="2116" spans="1:8" ht="15" x14ac:dyDescent="0.2">
      <c r="A2116" s="18"/>
      <c r="B2116" s="19" t="s">
        <v>4264</v>
      </c>
      <c r="C2116" s="20" t="s">
        <v>4265</v>
      </c>
      <c r="D2116" s="2">
        <v>2</v>
      </c>
      <c r="E2116" s="21"/>
      <c r="F2116" s="2">
        <f t="shared" ref="F2116:F2147" si="43">cena*zakaz</f>
        <v>0</v>
      </c>
      <c r="G2116" s="3" t="str">
        <f>HYPERLINK("http://tmmp-catalog.com.ua/katalog/29/17818/","фото")</f>
        <v>фото</v>
      </c>
      <c r="H2116" s="22"/>
    </row>
    <row r="2117" spans="1:8" ht="15" x14ac:dyDescent="0.2">
      <c r="A2117" s="18">
        <v>2000000023939</v>
      </c>
      <c r="B2117" s="19" t="s">
        <v>4266</v>
      </c>
      <c r="C2117" s="20" t="s">
        <v>4267</v>
      </c>
      <c r="D2117" s="2">
        <v>1.6</v>
      </c>
      <c r="E2117" s="21"/>
      <c r="F2117" s="2">
        <f t="shared" si="43"/>
        <v>0</v>
      </c>
      <c r="G2117" s="3" t="str">
        <f>HYPERLINK("http://tmmp-catalog.com.ua/katalog/29/15319/","фото")</f>
        <v>фото</v>
      </c>
      <c r="H2117" s="22"/>
    </row>
    <row r="2118" spans="1:8" ht="15" x14ac:dyDescent="0.2">
      <c r="A2118" s="18">
        <v>2000000023946</v>
      </c>
      <c r="B2118" s="19" t="s">
        <v>4268</v>
      </c>
      <c r="C2118" s="20" t="s">
        <v>4269</v>
      </c>
      <c r="D2118" s="2">
        <v>1.7</v>
      </c>
      <c r="E2118" s="21"/>
      <c r="F2118" s="2">
        <f t="shared" si="43"/>
        <v>0</v>
      </c>
      <c r="G2118" s="3" t="str">
        <f>HYPERLINK("http://tmmp-catalog.com.ua/katalog/29/15320/","фото")</f>
        <v>фото</v>
      </c>
      <c r="H2118" s="22"/>
    </row>
    <row r="2119" spans="1:8" ht="15" x14ac:dyDescent="0.2">
      <c r="A2119" s="18"/>
      <c r="B2119" s="19" t="s">
        <v>4270</v>
      </c>
      <c r="C2119" s="20" t="s">
        <v>4271</v>
      </c>
      <c r="D2119" s="2">
        <v>70</v>
      </c>
      <c r="E2119" s="21"/>
      <c r="F2119" s="2">
        <f t="shared" si="43"/>
        <v>0</v>
      </c>
      <c r="G2119" s="3" t="str">
        <f>HYPERLINK("http://tmmp-catalog.com.ua/katalog/29/18863/","фото")</f>
        <v>фото</v>
      </c>
      <c r="H2119" s="22"/>
    </row>
    <row r="2120" spans="1:8" ht="15" x14ac:dyDescent="0.2">
      <c r="A2120" s="18"/>
      <c r="B2120" s="19" t="s">
        <v>4272</v>
      </c>
      <c r="C2120" s="20" t="s">
        <v>4273</v>
      </c>
      <c r="D2120" s="2">
        <v>70</v>
      </c>
      <c r="E2120" s="21"/>
      <c r="F2120" s="2">
        <f t="shared" si="43"/>
        <v>0</v>
      </c>
      <c r="G2120" s="3" t="str">
        <f>HYPERLINK("http://tmmp-catalog.com.ua/katalog/29/18862/","фото")</f>
        <v>фото</v>
      </c>
      <c r="H2120" s="22"/>
    </row>
    <row r="2121" spans="1:8" ht="15" x14ac:dyDescent="0.2">
      <c r="A2121" s="18">
        <v>2000000036151</v>
      </c>
      <c r="B2121" s="19" t="s">
        <v>4274</v>
      </c>
      <c r="C2121" s="20" t="s">
        <v>4275</v>
      </c>
      <c r="D2121" s="2">
        <v>0.3</v>
      </c>
      <c r="E2121" s="21"/>
      <c r="F2121" s="2">
        <f t="shared" si="43"/>
        <v>0</v>
      </c>
      <c r="G2121" s="3" t="str">
        <f>HYPERLINK("http://tmmp-catalog.com.ua/katalog/29/15431/","фото")</f>
        <v>фото</v>
      </c>
      <c r="H2121" s="22"/>
    </row>
    <row r="2122" spans="1:8" ht="15" x14ac:dyDescent="0.2">
      <c r="A2122" s="18">
        <v>2000000035864</v>
      </c>
      <c r="B2122" s="19" t="s">
        <v>4276</v>
      </c>
      <c r="C2122" s="20" t="s">
        <v>4277</v>
      </c>
      <c r="D2122" s="2">
        <v>0.25</v>
      </c>
      <c r="E2122" s="21"/>
      <c r="F2122" s="2">
        <f t="shared" si="43"/>
        <v>0</v>
      </c>
      <c r="G2122" s="3" t="str">
        <f>HYPERLINK("http://tmmp-catalog.com.ua/katalog/29/15321/","фото")</f>
        <v>фото</v>
      </c>
      <c r="H2122" s="22"/>
    </row>
    <row r="2123" spans="1:8" ht="15" x14ac:dyDescent="0.2">
      <c r="A2123" s="18">
        <v>2000000037363</v>
      </c>
      <c r="B2123" s="19" t="s">
        <v>4278</v>
      </c>
      <c r="C2123" s="20" t="s">
        <v>4279</v>
      </c>
      <c r="D2123" s="2">
        <v>1.8</v>
      </c>
      <c r="E2123" s="21"/>
      <c r="F2123" s="2">
        <f t="shared" si="43"/>
        <v>0</v>
      </c>
      <c r="G2123" s="3" t="str">
        <f>HYPERLINK("http://tmmp-catalog.com.ua/katalog/29/15322/","фото")</f>
        <v>фото</v>
      </c>
      <c r="H2123" s="22"/>
    </row>
    <row r="2124" spans="1:8" ht="15" x14ac:dyDescent="0.2">
      <c r="A2124" s="18">
        <v>2000000037370</v>
      </c>
      <c r="B2124" s="19" t="s">
        <v>4280</v>
      </c>
      <c r="C2124" s="20" t="s">
        <v>4281</v>
      </c>
      <c r="D2124" s="2">
        <v>1.2</v>
      </c>
      <c r="E2124" s="21"/>
      <c r="F2124" s="2">
        <f t="shared" si="43"/>
        <v>0</v>
      </c>
      <c r="G2124" s="3" t="str">
        <f>HYPERLINK("http://tmmp-catalog.com.ua/katalog/29/15323/","фото")</f>
        <v>фото</v>
      </c>
      <c r="H2124" s="22"/>
    </row>
    <row r="2125" spans="1:8" ht="15" x14ac:dyDescent="0.2">
      <c r="A2125" s="18">
        <v>2000000037387</v>
      </c>
      <c r="B2125" s="19" t="s">
        <v>4282</v>
      </c>
      <c r="C2125" s="20" t="s">
        <v>4283</v>
      </c>
      <c r="D2125" s="2">
        <v>1.8</v>
      </c>
      <c r="E2125" s="21"/>
      <c r="F2125" s="2">
        <f t="shared" si="43"/>
        <v>0</v>
      </c>
      <c r="G2125" s="3" t="str">
        <f>HYPERLINK("http://tmmp-catalog.com.ua/katalog/29/15324/","фото")</f>
        <v>фото</v>
      </c>
      <c r="H2125" s="22"/>
    </row>
    <row r="2126" spans="1:8" ht="15" x14ac:dyDescent="0.2">
      <c r="A2126" s="18">
        <v>2000000037394</v>
      </c>
      <c r="B2126" s="19" t="s">
        <v>4284</v>
      </c>
      <c r="C2126" s="20" t="s">
        <v>4285</v>
      </c>
      <c r="D2126" s="2">
        <v>1.2</v>
      </c>
      <c r="E2126" s="21"/>
      <c r="F2126" s="2">
        <f t="shared" si="43"/>
        <v>0</v>
      </c>
      <c r="G2126" s="3" t="str">
        <f>HYPERLINK("http://tmmp-catalog.com.ua/katalog/29/15325/","фото")</f>
        <v>фото</v>
      </c>
      <c r="H2126" s="22"/>
    </row>
    <row r="2127" spans="1:8" ht="15" x14ac:dyDescent="0.2">
      <c r="A2127" s="18"/>
      <c r="B2127" s="19" t="s">
        <v>4286</v>
      </c>
      <c r="C2127" s="20" t="s">
        <v>4287</v>
      </c>
      <c r="D2127" s="2">
        <v>0.6</v>
      </c>
      <c r="E2127" s="21"/>
      <c r="F2127" s="2">
        <f t="shared" si="43"/>
        <v>0</v>
      </c>
      <c r="G2127" s="3" t="str">
        <f>HYPERLINK("http://tmmp-catalog.com.ua/katalog/29/15327/","фото")</f>
        <v>фото</v>
      </c>
      <c r="H2127" s="22"/>
    </row>
    <row r="2128" spans="1:8" ht="15" x14ac:dyDescent="0.2">
      <c r="A2128" s="18">
        <v>2000000037400</v>
      </c>
      <c r="B2128" s="19" t="s">
        <v>4288</v>
      </c>
      <c r="C2128" s="20" t="s">
        <v>4289</v>
      </c>
      <c r="D2128" s="2">
        <v>0.6</v>
      </c>
      <c r="E2128" s="21"/>
      <c r="F2128" s="2">
        <f t="shared" si="43"/>
        <v>0</v>
      </c>
      <c r="G2128" s="3" t="str">
        <f>HYPERLINK("http://tmmp-catalog.com.ua/katalog/29/15328/","фото")</f>
        <v>фото</v>
      </c>
      <c r="H2128" s="22"/>
    </row>
    <row r="2129" spans="1:8" ht="15" x14ac:dyDescent="0.2">
      <c r="A2129" s="18">
        <v>2000000037417</v>
      </c>
      <c r="B2129" s="19" t="s">
        <v>4290</v>
      </c>
      <c r="C2129" s="20" t="s">
        <v>4291</v>
      </c>
      <c r="D2129" s="2">
        <v>0.6</v>
      </c>
      <c r="E2129" s="21"/>
      <c r="F2129" s="2">
        <f t="shared" si="43"/>
        <v>0</v>
      </c>
      <c r="G2129" s="3" t="str">
        <f>HYPERLINK("http://tmmp-catalog.com.ua/katalog/29/15329/","фото")</f>
        <v>фото</v>
      </c>
      <c r="H2129" s="22"/>
    </row>
    <row r="2130" spans="1:8" ht="15" x14ac:dyDescent="0.2">
      <c r="A2130" s="18">
        <v>2000000011745</v>
      </c>
      <c r="B2130" s="19" t="s">
        <v>4292</v>
      </c>
      <c r="C2130" s="20" t="s">
        <v>4293</v>
      </c>
      <c r="D2130" s="2">
        <v>0.1</v>
      </c>
      <c r="E2130" s="21"/>
      <c r="F2130" s="2">
        <f t="shared" si="43"/>
        <v>0</v>
      </c>
      <c r="G2130" s="3" t="str">
        <f>HYPERLINK("http://tmmp-catalog.com.ua/katalog/19/15218/","фото")</f>
        <v>фото</v>
      </c>
      <c r="H2130" s="22"/>
    </row>
    <row r="2131" spans="1:8" ht="15" x14ac:dyDescent="0.2">
      <c r="A2131" s="18">
        <v>2000000011752</v>
      </c>
      <c r="B2131" s="19" t="s">
        <v>4294</v>
      </c>
      <c r="C2131" s="20" t="s">
        <v>4295</v>
      </c>
      <c r="D2131" s="2">
        <v>1.4</v>
      </c>
      <c r="E2131" s="21"/>
      <c r="F2131" s="2">
        <f t="shared" si="43"/>
        <v>0</v>
      </c>
      <c r="G2131" s="3" t="str">
        <f>HYPERLINK("http://tmmp-catalog.com.ua/katalog/19/15219/","фото")</f>
        <v>фото</v>
      </c>
      <c r="H2131" s="22"/>
    </row>
    <row r="2132" spans="1:8" ht="15" x14ac:dyDescent="0.2">
      <c r="A2132" s="18">
        <v>2000000035871</v>
      </c>
      <c r="B2132" s="19" t="s">
        <v>4296</v>
      </c>
      <c r="C2132" s="20" t="s">
        <v>4297</v>
      </c>
      <c r="D2132" s="2">
        <v>0.2</v>
      </c>
      <c r="E2132" s="21"/>
      <c r="F2132" s="2">
        <f t="shared" si="43"/>
        <v>0</v>
      </c>
      <c r="G2132" s="3" t="str">
        <f>HYPERLINK("http://tmmp-catalog.com.ua/katalog/29/15332/","фото")</f>
        <v>фото</v>
      </c>
      <c r="H2132" s="22"/>
    </row>
    <row r="2133" spans="1:8" ht="15" x14ac:dyDescent="0.2">
      <c r="A2133" s="18">
        <v>2000000035888</v>
      </c>
      <c r="B2133" s="19" t="s">
        <v>4298</v>
      </c>
      <c r="C2133" s="20" t="s">
        <v>4299</v>
      </c>
      <c r="D2133" s="2">
        <v>0.3</v>
      </c>
      <c r="E2133" s="21"/>
      <c r="F2133" s="2">
        <f t="shared" si="43"/>
        <v>0</v>
      </c>
      <c r="G2133" s="3" t="str">
        <f>HYPERLINK("http://tmmp-catalog.com.ua/katalog/29/15333/","фото")</f>
        <v>фото</v>
      </c>
      <c r="H2133" s="22"/>
    </row>
    <row r="2134" spans="1:8" ht="15" x14ac:dyDescent="0.2">
      <c r="A2134" s="18"/>
      <c r="B2134" s="19" t="s">
        <v>4300</v>
      </c>
      <c r="C2134" s="20" t="s">
        <v>4301</v>
      </c>
      <c r="D2134" s="2">
        <v>0.3</v>
      </c>
      <c r="E2134" s="21"/>
      <c r="F2134" s="2">
        <f t="shared" si="43"/>
        <v>0</v>
      </c>
      <c r="G2134" s="3" t="str">
        <f>HYPERLINK("http://tmmp-catalog.com.ua/katalog/29/17554/","фото")</f>
        <v>фото</v>
      </c>
      <c r="H2134" s="22"/>
    </row>
    <row r="2135" spans="1:8" ht="15" x14ac:dyDescent="0.2">
      <c r="A2135" s="18"/>
      <c r="B2135" s="19" t="s">
        <v>4302</v>
      </c>
      <c r="C2135" s="20" t="s">
        <v>4303</v>
      </c>
      <c r="D2135" s="2">
        <v>0.3</v>
      </c>
      <c r="E2135" s="21"/>
      <c r="F2135" s="2">
        <f t="shared" si="43"/>
        <v>0</v>
      </c>
      <c r="G2135" s="3" t="str">
        <f>HYPERLINK("http://tmmp-catalog.com.ua/katalog/29/17555/","фото")</f>
        <v>фото</v>
      </c>
      <c r="H2135" s="22"/>
    </row>
    <row r="2136" spans="1:8" ht="15" x14ac:dyDescent="0.2">
      <c r="A2136" s="18">
        <v>2000000037424</v>
      </c>
      <c r="B2136" s="19" t="s">
        <v>4304</v>
      </c>
      <c r="C2136" s="20" t="s">
        <v>4305</v>
      </c>
      <c r="D2136" s="2">
        <v>0.15</v>
      </c>
      <c r="E2136" s="21"/>
      <c r="F2136" s="2">
        <f t="shared" si="43"/>
        <v>0</v>
      </c>
      <c r="G2136" s="3" t="str">
        <f>HYPERLINK("http://tmmp-catalog.com.ua/katalog/29/15336/","фото")</f>
        <v>фото</v>
      </c>
      <c r="H2136" s="22"/>
    </row>
    <row r="2137" spans="1:8" ht="15" x14ac:dyDescent="0.2">
      <c r="A2137" s="18">
        <v>2000000037479</v>
      </c>
      <c r="B2137" s="19" t="s">
        <v>4306</v>
      </c>
      <c r="C2137" s="20" t="s">
        <v>4307</v>
      </c>
      <c r="D2137" s="2">
        <v>1.5</v>
      </c>
      <c r="E2137" s="21"/>
      <c r="F2137" s="2">
        <f t="shared" si="43"/>
        <v>0</v>
      </c>
      <c r="G2137" s="3" t="str">
        <f>HYPERLINK("http://tmmp-catalog.com.ua/katalog/29/15339/","фото")</f>
        <v>фото</v>
      </c>
      <c r="H2137" s="22"/>
    </row>
    <row r="2138" spans="1:8" ht="15" x14ac:dyDescent="0.2">
      <c r="A2138" s="18">
        <v>2000000037455</v>
      </c>
      <c r="B2138" s="19" t="s">
        <v>4308</v>
      </c>
      <c r="C2138" s="20" t="s">
        <v>4309</v>
      </c>
      <c r="D2138" s="2">
        <v>0.35</v>
      </c>
      <c r="E2138" s="21"/>
      <c r="F2138" s="2">
        <f t="shared" si="43"/>
        <v>0</v>
      </c>
      <c r="G2138" s="3" t="str">
        <f>HYPERLINK("http://tmmp-catalog.com.ua/katalog/29/15337/","фото")</f>
        <v>фото</v>
      </c>
      <c r="H2138" s="22"/>
    </row>
    <row r="2139" spans="1:8" ht="15" x14ac:dyDescent="0.2">
      <c r="A2139" s="18">
        <v>2000000037462</v>
      </c>
      <c r="B2139" s="19" t="s">
        <v>4310</v>
      </c>
      <c r="C2139" s="20" t="s">
        <v>4311</v>
      </c>
      <c r="D2139" s="2">
        <v>1</v>
      </c>
      <c r="E2139" s="21"/>
      <c r="F2139" s="2">
        <f t="shared" si="43"/>
        <v>0</v>
      </c>
      <c r="G2139" s="3" t="str">
        <f>HYPERLINK("http://tmmp-catalog.com.ua/katalog/29/15338/","фото")</f>
        <v>фото</v>
      </c>
      <c r="H2139" s="22"/>
    </row>
    <row r="2140" spans="1:8" ht="15" x14ac:dyDescent="0.2">
      <c r="A2140" s="18">
        <v>2000000036243</v>
      </c>
      <c r="B2140" s="19" t="s">
        <v>4312</v>
      </c>
      <c r="C2140" s="20" t="s">
        <v>4313</v>
      </c>
      <c r="D2140" s="2">
        <v>5</v>
      </c>
      <c r="E2140" s="21"/>
      <c r="F2140" s="2">
        <f t="shared" si="43"/>
        <v>0</v>
      </c>
      <c r="G2140" s="3" t="str">
        <f>HYPERLINK("http://tmmp-catalog.com.ua/katalog/29/15340/","фото")</f>
        <v>фото</v>
      </c>
      <c r="H2140" s="22"/>
    </row>
    <row r="2141" spans="1:8" ht="15" x14ac:dyDescent="0.2">
      <c r="A2141" s="18">
        <v>2000000036250</v>
      </c>
      <c r="B2141" s="19" t="s">
        <v>4314</v>
      </c>
      <c r="C2141" s="20" t="s">
        <v>4315</v>
      </c>
      <c r="D2141" s="2">
        <v>3.8</v>
      </c>
      <c r="E2141" s="21"/>
      <c r="F2141" s="2">
        <f t="shared" si="43"/>
        <v>0</v>
      </c>
      <c r="G2141" s="3" t="str">
        <f>HYPERLINK("http://tmmp-catalog.com.ua/katalog/29/15341/","фото")</f>
        <v>фото</v>
      </c>
      <c r="H2141" s="22"/>
    </row>
    <row r="2142" spans="1:8" ht="15" x14ac:dyDescent="0.2">
      <c r="A2142" s="18"/>
      <c r="B2142" s="19" t="s">
        <v>4316</v>
      </c>
      <c r="C2142" s="20" t="s">
        <v>4317</v>
      </c>
      <c r="D2142" s="2">
        <v>4.3</v>
      </c>
      <c r="E2142" s="21"/>
      <c r="F2142" s="2">
        <f t="shared" si="43"/>
        <v>0</v>
      </c>
      <c r="G2142" s="3" t="str">
        <f>HYPERLINK("http://tmmp-catalog.com.ua/katalog/29/18797/","фото")</f>
        <v>фото</v>
      </c>
      <c r="H2142" s="22"/>
    </row>
    <row r="2143" spans="1:8" ht="15" x14ac:dyDescent="0.2">
      <c r="A2143" s="18"/>
      <c r="B2143" s="19" t="s">
        <v>4318</v>
      </c>
      <c r="C2143" s="20" t="s">
        <v>4319</v>
      </c>
      <c r="D2143" s="2">
        <v>12</v>
      </c>
      <c r="E2143" s="21"/>
      <c r="F2143" s="2">
        <f t="shared" si="43"/>
        <v>0</v>
      </c>
      <c r="G2143" s="3" t="str">
        <f>HYPERLINK("http://tmmp-catalog.com.ua/katalog/29/18157/","фото")</f>
        <v>фото</v>
      </c>
      <c r="H2143" s="22"/>
    </row>
    <row r="2144" spans="1:8" ht="15" x14ac:dyDescent="0.2">
      <c r="A2144" s="18"/>
      <c r="B2144" s="19" t="s">
        <v>4320</v>
      </c>
      <c r="C2144" s="20" t="s">
        <v>4321</v>
      </c>
      <c r="D2144" s="2">
        <v>1.5</v>
      </c>
      <c r="E2144" s="21"/>
      <c r="F2144" s="2">
        <f t="shared" si="43"/>
        <v>0</v>
      </c>
      <c r="G2144" s="3" t="str">
        <f>HYPERLINK("http://tmmp-catalog.com.ua/katalog/29/18714/","фото")</f>
        <v>фото</v>
      </c>
      <c r="H2144" s="22"/>
    </row>
    <row r="2145" spans="1:8" ht="15" x14ac:dyDescent="0.2">
      <c r="A2145" s="18"/>
      <c r="B2145" s="19" t="s">
        <v>4322</v>
      </c>
      <c r="C2145" s="20" t="s">
        <v>4323</v>
      </c>
      <c r="D2145" s="2">
        <v>1.5</v>
      </c>
      <c r="E2145" s="21"/>
      <c r="F2145" s="2">
        <f t="shared" si="43"/>
        <v>0</v>
      </c>
      <c r="G2145" s="3" t="str">
        <f>HYPERLINK("http://tmmp-catalog.com.ua/katalog/29/18713/","фото")</f>
        <v>фото</v>
      </c>
      <c r="H2145" s="22"/>
    </row>
    <row r="2146" spans="1:8" ht="15" x14ac:dyDescent="0.2">
      <c r="A2146" s="18">
        <v>2000000036328</v>
      </c>
      <c r="B2146" s="19" t="s">
        <v>4324</v>
      </c>
      <c r="C2146" s="20" t="s">
        <v>4325</v>
      </c>
      <c r="D2146" s="2">
        <v>3</v>
      </c>
      <c r="E2146" s="21"/>
      <c r="F2146" s="2">
        <f t="shared" si="43"/>
        <v>0</v>
      </c>
      <c r="G2146" s="3" t="str">
        <f>HYPERLINK("http://tmmp-catalog.com.ua/katalog/29/15342/","фото")</f>
        <v>фото</v>
      </c>
      <c r="H2146" s="22"/>
    </row>
    <row r="2147" spans="1:8" ht="15" x14ac:dyDescent="0.2">
      <c r="A2147" s="18">
        <v>2000000036212</v>
      </c>
      <c r="B2147" s="19" t="s">
        <v>4326</v>
      </c>
      <c r="C2147" s="20" t="s">
        <v>4327</v>
      </c>
      <c r="D2147" s="2">
        <v>3</v>
      </c>
      <c r="E2147" s="21"/>
      <c r="F2147" s="2">
        <f t="shared" si="43"/>
        <v>0</v>
      </c>
      <c r="G2147" s="3" t="str">
        <f>HYPERLINK("http://tmmp-catalog.com.ua/katalog/29/15344/","фото")</f>
        <v>фото</v>
      </c>
      <c r="H2147" s="22"/>
    </row>
    <row r="2148" spans="1:8" ht="15" x14ac:dyDescent="0.2">
      <c r="A2148" s="18">
        <v>2000000036229</v>
      </c>
      <c r="B2148" s="19" t="s">
        <v>4328</v>
      </c>
      <c r="C2148" s="20" t="s">
        <v>4329</v>
      </c>
      <c r="D2148" s="2">
        <v>3.1</v>
      </c>
      <c r="E2148" s="21"/>
      <c r="F2148" s="2">
        <f t="shared" ref="F2148:F2179" si="44">cena*zakaz</f>
        <v>0</v>
      </c>
      <c r="G2148" s="3" t="str">
        <f>HYPERLINK("http://tmmp-catalog.com.ua/katalog/29/15345/","фото")</f>
        <v>фото</v>
      </c>
      <c r="H2148" s="22"/>
    </row>
    <row r="2149" spans="1:8" ht="15" x14ac:dyDescent="0.2">
      <c r="A2149" s="18">
        <v>2000000036267</v>
      </c>
      <c r="B2149" s="19" t="s">
        <v>4330</v>
      </c>
      <c r="C2149" s="20" t="s">
        <v>4331</v>
      </c>
      <c r="D2149" s="2">
        <v>0.45</v>
      </c>
      <c r="E2149" s="21"/>
      <c r="F2149" s="2">
        <f t="shared" si="44"/>
        <v>0</v>
      </c>
      <c r="G2149" s="3" t="str">
        <f>HYPERLINK("http://tmmp-catalog.com.ua/katalog/29/15347/","фото")</f>
        <v>фото</v>
      </c>
      <c r="H2149" s="22"/>
    </row>
    <row r="2150" spans="1:8" ht="15" x14ac:dyDescent="0.2">
      <c r="A2150" s="18">
        <v>2000000036281</v>
      </c>
      <c r="B2150" s="19" t="s">
        <v>4332</v>
      </c>
      <c r="C2150" s="20" t="s">
        <v>4333</v>
      </c>
      <c r="D2150" s="2">
        <v>0.35</v>
      </c>
      <c r="E2150" s="21"/>
      <c r="F2150" s="2">
        <f t="shared" si="44"/>
        <v>0</v>
      </c>
      <c r="G2150" s="3" t="str">
        <f>HYPERLINK("http://tmmp-catalog.com.ua/katalog/29/15349/","фото")</f>
        <v>фото</v>
      </c>
      <c r="H2150" s="22"/>
    </row>
    <row r="2151" spans="1:8" ht="15" x14ac:dyDescent="0.2">
      <c r="A2151" s="18">
        <v>2000000036298</v>
      </c>
      <c r="B2151" s="19" t="s">
        <v>4334</v>
      </c>
      <c r="C2151" s="20" t="s">
        <v>4335</v>
      </c>
      <c r="D2151" s="2">
        <v>0.35</v>
      </c>
      <c r="E2151" s="21"/>
      <c r="F2151" s="2">
        <f t="shared" si="44"/>
        <v>0</v>
      </c>
      <c r="G2151" s="3" t="str">
        <f>HYPERLINK("http://tmmp-catalog.com.ua/katalog/29/15350/","фото")</f>
        <v>фото</v>
      </c>
      <c r="H2151" s="22"/>
    </row>
    <row r="2152" spans="1:8" ht="15" x14ac:dyDescent="0.2">
      <c r="A2152" s="18">
        <v>2000000037332</v>
      </c>
      <c r="B2152" s="19" t="s">
        <v>4336</v>
      </c>
      <c r="C2152" s="20" t="s">
        <v>4337</v>
      </c>
      <c r="D2152" s="2">
        <v>0.9</v>
      </c>
      <c r="E2152" s="21"/>
      <c r="F2152" s="2">
        <f t="shared" si="44"/>
        <v>0</v>
      </c>
      <c r="G2152" s="3" t="str">
        <f>HYPERLINK("http://tmmp-catalog.com.ua/katalog/29/15420/","фото")</f>
        <v>фото</v>
      </c>
      <c r="H2152" s="22"/>
    </row>
    <row r="2153" spans="1:8" ht="15" x14ac:dyDescent="0.2">
      <c r="A2153" s="18">
        <v>2000000037349</v>
      </c>
      <c r="B2153" s="19" t="s">
        <v>4338</v>
      </c>
      <c r="C2153" s="20" t="s">
        <v>4339</v>
      </c>
      <c r="D2153" s="2">
        <v>1</v>
      </c>
      <c r="E2153" s="21"/>
      <c r="F2153" s="2">
        <f t="shared" si="44"/>
        <v>0</v>
      </c>
      <c r="G2153" s="3" t="str">
        <f>HYPERLINK("http://tmmp-catalog.com.ua/katalog/29/15421/","фото")</f>
        <v>фото</v>
      </c>
      <c r="H2153" s="22"/>
    </row>
    <row r="2154" spans="1:8" ht="15" x14ac:dyDescent="0.2">
      <c r="A2154" s="18">
        <v>2000000011776</v>
      </c>
      <c r="B2154" s="19" t="s">
        <v>4340</v>
      </c>
      <c r="C2154" s="20" t="s">
        <v>4341</v>
      </c>
      <c r="D2154" s="2">
        <v>2</v>
      </c>
      <c r="E2154" s="21"/>
      <c r="F2154" s="2">
        <f t="shared" si="44"/>
        <v>0</v>
      </c>
      <c r="G2154" s="3" t="str">
        <f>HYPERLINK("http://tmmp-catalog.com.ua/katalog/19/15221/","фото")</f>
        <v>фото</v>
      </c>
      <c r="H2154" s="22"/>
    </row>
    <row r="2155" spans="1:8" ht="15" x14ac:dyDescent="0.2">
      <c r="A2155" s="18"/>
      <c r="B2155" s="19" t="s">
        <v>4342</v>
      </c>
      <c r="C2155" s="20" t="s">
        <v>4343</v>
      </c>
      <c r="D2155" s="2">
        <v>0.45</v>
      </c>
      <c r="E2155" s="21"/>
      <c r="F2155" s="2">
        <f t="shared" si="44"/>
        <v>0</v>
      </c>
      <c r="G2155" s="3" t="str">
        <f>HYPERLINK("http://tmmp-catalog.com.ua/katalog/37/18365/","фото")</f>
        <v>фото</v>
      </c>
      <c r="H2155" s="22"/>
    </row>
    <row r="2156" spans="1:8" ht="15" x14ac:dyDescent="0.2">
      <c r="A2156" s="18">
        <v>2000000036564</v>
      </c>
      <c r="B2156" s="19" t="s">
        <v>4344</v>
      </c>
      <c r="C2156" s="20" t="s">
        <v>4345</v>
      </c>
      <c r="D2156" s="2">
        <v>2.6</v>
      </c>
      <c r="E2156" s="21"/>
      <c r="F2156" s="2">
        <f t="shared" si="44"/>
        <v>0</v>
      </c>
      <c r="G2156" s="3" t="str">
        <f>HYPERLINK("http://tmmp-catalog.com.ua/katalog/29/15354/","фото")</f>
        <v>фото</v>
      </c>
      <c r="H2156" s="22"/>
    </row>
    <row r="2157" spans="1:8" ht="15" x14ac:dyDescent="0.2">
      <c r="A2157" s="18">
        <v>2000000036588</v>
      </c>
      <c r="B2157" s="19" t="s">
        <v>4346</v>
      </c>
      <c r="C2157" s="20" t="s">
        <v>4347</v>
      </c>
      <c r="D2157" s="2">
        <v>1</v>
      </c>
      <c r="E2157" s="21"/>
      <c r="F2157" s="2">
        <f t="shared" si="44"/>
        <v>0</v>
      </c>
      <c r="G2157" s="3" t="str">
        <f>HYPERLINK("http://tmmp-catalog.com.ua/katalog/29/15357/","фото")</f>
        <v>фото</v>
      </c>
      <c r="H2157" s="22"/>
    </row>
    <row r="2158" spans="1:8" ht="15" x14ac:dyDescent="0.2">
      <c r="A2158" s="18"/>
      <c r="B2158" s="19" t="s">
        <v>4348</v>
      </c>
      <c r="C2158" s="20" t="s">
        <v>4349</v>
      </c>
      <c r="D2158" s="2">
        <v>1</v>
      </c>
      <c r="E2158" s="21"/>
      <c r="F2158" s="2">
        <f t="shared" si="44"/>
        <v>0</v>
      </c>
      <c r="G2158" s="3" t="str">
        <f>HYPERLINK("http://tmmp-catalog.com.ua/katalog/29/17439/","фото")</f>
        <v>фото</v>
      </c>
      <c r="H2158" s="22"/>
    </row>
    <row r="2159" spans="1:8" ht="15" x14ac:dyDescent="0.2">
      <c r="A2159" s="18">
        <v>2000000036595</v>
      </c>
      <c r="B2159" s="19" t="s">
        <v>4350</v>
      </c>
      <c r="C2159" s="20" t="s">
        <v>4351</v>
      </c>
      <c r="D2159" s="2">
        <v>1.1000000000000001</v>
      </c>
      <c r="E2159" s="21"/>
      <c r="F2159" s="2">
        <f t="shared" si="44"/>
        <v>0</v>
      </c>
      <c r="G2159" s="3" t="str">
        <f>HYPERLINK("http://tmmp-catalog.com.ua/katalog/29/15359/","фото")</f>
        <v>фото</v>
      </c>
      <c r="H2159" s="22"/>
    </row>
    <row r="2160" spans="1:8" ht="15" x14ac:dyDescent="0.2">
      <c r="A2160" s="18"/>
      <c r="B2160" s="19" t="s">
        <v>4352</v>
      </c>
      <c r="C2160" s="20" t="s">
        <v>4353</v>
      </c>
      <c r="D2160" s="2">
        <v>1.1000000000000001</v>
      </c>
      <c r="E2160" s="21"/>
      <c r="F2160" s="2">
        <f t="shared" si="44"/>
        <v>0</v>
      </c>
      <c r="G2160" s="3" t="str">
        <f>HYPERLINK("http://tmmp-catalog.com.ua/katalog/29/17699/","фото")</f>
        <v>фото</v>
      </c>
      <c r="H2160" s="22"/>
    </row>
    <row r="2161" spans="1:8" ht="15" x14ac:dyDescent="0.2">
      <c r="A2161" s="18">
        <v>2000000036601</v>
      </c>
      <c r="B2161" s="19" t="s">
        <v>4354</v>
      </c>
      <c r="C2161" s="20" t="s">
        <v>4355</v>
      </c>
      <c r="D2161" s="2">
        <v>0.85</v>
      </c>
      <c r="E2161" s="21"/>
      <c r="F2161" s="2">
        <f t="shared" si="44"/>
        <v>0</v>
      </c>
      <c r="G2161" s="3" t="str">
        <f>HYPERLINK("http://tmmp-catalog.com.ua/katalog/29/15360/","фото")</f>
        <v>фото</v>
      </c>
      <c r="H2161" s="22"/>
    </row>
    <row r="2162" spans="1:8" ht="15" x14ac:dyDescent="0.2">
      <c r="A2162" s="18"/>
      <c r="B2162" s="19" t="s">
        <v>4356</v>
      </c>
      <c r="C2162" s="20" t="s">
        <v>4357</v>
      </c>
      <c r="D2162" s="2">
        <v>1</v>
      </c>
      <c r="E2162" s="21"/>
      <c r="F2162" s="2">
        <f t="shared" si="44"/>
        <v>0</v>
      </c>
      <c r="G2162" s="3" t="str">
        <f>HYPERLINK("http://tmmp-catalog.com.ua/katalog/29/17700/","фото")</f>
        <v>фото</v>
      </c>
      <c r="H2162" s="22"/>
    </row>
    <row r="2163" spans="1:8" ht="15" x14ac:dyDescent="0.2">
      <c r="A2163" s="18">
        <v>2000000036618</v>
      </c>
      <c r="B2163" s="19" t="s">
        <v>4358</v>
      </c>
      <c r="C2163" s="20" t="s">
        <v>4359</v>
      </c>
      <c r="D2163" s="2">
        <v>1.2</v>
      </c>
      <c r="E2163" s="21"/>
      <c r="F2163" s="2">
        <f t="shared" si="44"/>
        <v>0</v>
      </c>
      <c r="G2163" s="3" t="str">
        <f>HYPERLINK("http://tmmp-catalog.com.ua/katalog/29/15361/","фото")</f>
        <v>фото</v>
      </c>
      <c r="H2163" s="22"/>
    </row>
    <row r="2164" spans="1:8" ht="15" x14ac:dyDescent="0.2">
      <c r="A2164" s="18">
        <v>2000000036625</v>
      </c>
      <c r="B2164" s="19" t="s">
        <v>4360</v>
      </c>
      <c r="C2164" s="20" t="s">
        <v>4361</v>
      </c>
      <c r="D2164" s="2">
        <v>1.2</v>
      </c>
      <c r="E2164" s="21"/>
      <c r="F2164" s="2">
        <f t="shared" si="44"/>
        <v>0</v>
      </c>
      <c r="G2164" s="3" t="str">
        <f>HYPERLINK("http://tmmp-catalog.com.ua/katalog/29/15362/","фото")</f>
        <v>фото</v>
      </c>
      <c r="H2164" s="22"/>
    </row>
    <row r="2165" spans="1:8" ht="15" x14ac:dyDescent="0.2">
      <c r="A2165" s="18">
        <v>2000000036632</v>
      </c>
      <c r="B2165" s="19" t="s">
        <v>4362</v>
      </c>
      <c r="C2165" s="20" t="s">
        <v>4363</v>
      </c>
      <c r="D2165" s="2">
        <v>0.25</v>
      </c>
      <c r="E2165" s="21"/>
      <c r="F2165" s="2">
        <f t="shared" si="44"/>
        <v>0</v>
      </c>
      <c r="G2165" s="3" t="str">
        <f>HYPERLINK("http://tmmp-catalog.com.ua/katalog/29/15363/","фото")</f>
        <v>фото</v>
      </c>
      <c r="H2165" s="22"/>
    </row>
    <row r="2166" spans="1:8" ht="15" x14ac:dyDescent="0.2">
      <c r="A2166" s="18">
        <v>2000000036649</v>
      </c>
      <c r="B2166" s="19" t="s">
        <v>4364</v>
      </c>
      <c r="C2166" s="20" t="s">
        <v>4365</v>
      </c>
      <c r="D2166" s="2">
        <v>0.25</v>
      </c>
      <c r="E2166" s="21"/>
      <c r="F2166" s="2">
        <f t="shared" si="44"/>
        <v>0</v>
      </c>
      <c r="G2166" s="3" t="str">
        <f>HYPERLINK("http://tmmp-catalog.com.ua/katalog/29/15364/","фото")</f>
        <v>фото</v>
      </c>
      <c r="H2166" s="22"/>
    </row>
    <row r="2167" spans="1:8" ht="15" x14ac:dyDescent="0.2">
      <c r="A2167" s="18"/>
      <c r="B2167" s="19" t="s">
        <v>4366</v>
      </c>
      <c r="C2167" s="20" t="s">
        <v>4367</v>
      </c>
      <c r="D2167" s="2">
        <v>12</v>
      </c>
      <c r="E2167" s="21"/>
      <c r="F2167" s="2">
        <f t="shared" si="44"/>
        <v>0</v>
      </c>
      <c r="G2167" s="3" t="str">
        <f>HYPERLINK("http://tmmp-catalog.com.ua/katalog/29/18168/","фото")</f>
        <v>фото</v>
      </c>
      <c r="H2167" s="22"/>
    </row>
    <row r="2168" spans="1:8" ht="15" x14ac:dyDescent="0.2">
      <c r="A2168" s="18"/>
      <c r="B2168" s="19" t="s">
        <v>4368</v>
      </c>
      <c r="C2168" s="20" t="s">
        <v>4369</v>
      </c>
      <c r="D2168" s="2">
        <v>15</v>
      </c>
      <c r="E2168" s="21"/>
      <c r="F2168" s="2">
        <f t="shared" si="44"/>
        <v>0</v>
      </c>
      <c r="G2168" s="3" t="str">
        <f>HYPERLINK("http://tmmp-catalog.com.ua/katalog/29/18144/","фото")</f>
        <v>фото</v>
      </c>
      <c r="H2168" s="22"/>
    </row>
    <row r="2169" spans="1:8" ht="15" x14ac:dyDescent="0.2">
      <c r="A2169" s="18"/>
      <c r="B2169" s="19" t="s">
        <v>4370</v>
      </c>
      <c r="C2169" s="20" t="s">
        <v>4371</v>
      </c>
      <c r="D2169" s="2">
        <v>15</v>
      </c>
      <c r="E2169" s="21"/>
      <c r="F2169" s="2">
        <f t="shared" si="44"/>
        <v>0</v>
      </c>
      <c r="G2169" s="3" t="str">
        <f>HYPERLINK("http://tmmp-catalog.com.ua/katalog/29/18168/","фото")</f>
        <v>фото</v>
      </c>
      <c r="H2169" s="22"/>
    </row>
    <row r="2170" spans="1:8" ht="15" x14ac:dyDescent="0.2">
      <c r="A2170" s="18"/>
      <c r="B2170" s="19" t="s">
        <v>4372</v>
      </c>
      <c r="C2170" s="20" t="s">
        <v>4373</v>
      </c>
      <c r="D2170" s="2">
        <v>12</v>
      </c>
      <c r="E2170" s="21"/>
      <c r="F2170" s="2">
        <f t="shared" si="44"/>
        <v>0</v>
      </c>
      <c r="G2170" s="3" t="str">
        <f>HYPERLINK("http://tmmp-catalog.com.ua/katalog/29/18168/","фото")</f>
        <v>фото</v>
      </c>
      <c r="H2170" s="22"/>
    </row>
    <row r="2171" spans="1:8" ht="15" x14ac:dyDescent="0.2">
      <c r="A2171" s="18"/>
      <c r="B2171" s="19" t="s">
        <v>4374</v>
      </c>
      <c r="C2171" s="20" t="s">
        <v>4375</v>
      </c>
      <c r="D2171" s="2">
        <v>12</v>
      </c>
      <c r="E2171" s="21"/>
      <c r="F2171" s="2">
        <f t="shared" si="44"/>
        <v>0</v>
      </c>
      <c r="G2171" s="3" t="str">
        <f>HYPERLINK("http://tmmp-catalog.com.ua/katalog/29/18144/","фото")</f>
        <v>фото</v>
      </c>
      <c r="H2171" s="22"/>
    </row>
    <row r="2172" spans="1:8" ht="15" x14ac:dyDescent="0.2">
      <c r="A2172" s="18"/>
      <c r="B2172" s="19" t="s">
        <v>4376</v>
      </c>
      <c r="C2172" s="20" t="s">
        <v>4377</v>
      </c>
      <c r="D2172" s="2">
        <v>35</v>
      </c>
      <c r="E2172" s="21"/>
      <c r="F2172" s="2">
        <f t="shared" si="44"/>
        <v>0</v>
      </c>
      <c r="G2172" s="3" t="str">
        <f>HYPERLINK("http://tmmp-catalog.com.ua/katalog/17/18115/","фото")</f>
        <v>фото</v>
      </c>
      <c r="H2172" s="22"/>
    </row>
    <row r="2173" spans="1:8" ht="15" x14ac:dyDescent="0.2">
      <c r="A2173" s="18"/>
      <c r="B2173" s="19" t="s">
        <v>4378</v>
      </c>
      <c r="C2173" s="20" t="s">
        <v>4379</v>
      </c>
      <c r="D2173" s="2">
        <v>30</v>
      </c>
      <c r="E2173" s="21"/>
      <c r="F2173" s="2">
        <f t="shared" si="44"/>
        <v>0</v>
      </c>
      <c r="G2173" s="3" t="str">
        <f>HYPERLINK("http://tmmp-catalog.com.ua/katalog/29/18146/","фото")</f>
        <v>фото</v>
      </c>
      <c r="H2173" s="22"/>
    </row>
    <row r="2174" spans="1:8" ht="15" x14ac:dyDescent="0.2">
      <c r="A2174" s="18"/>
      <c r="B2174" s="19" t="s">
        <v>4380</v>
      </c>
      <c r="C2174" s="20" t="s">
        <v>4381</v>
      </c>
      <c r="D2174" s="2">
        <v>16</v>
      </c>
      <c r="E2174" s="21"/>
      <c r="F2174" s="2">
        <f t="shared" si="44"/>
        <v>0</v>
      </c>
      <c r="G2174" s="3" t="str">
        <f>HYPERLINK("http://tmmp-catalog.com.ua/katalog/29/18177/","фото")</f>
        <v>фото</v>
      </c>
      <c r="H2174" s="22"/>
    </row>
    <row r="2175" spans="1:8" ht="15" x14ac:dyDescent="0.2">
      <c r="A2175" s="18"/>
      <c r="B2175" s="19" t="s">
        <v>4382</v>
      </c>
      <c r="C2175" s="20" t="s">
        <v>4383</v>
      </c>
      <c r="D2175" s="2">
        <v>15</v>
      </c>
      <c r="E2175" s="21"/>
      <c r="F2175" s="2">
        <f t="shared" si="44"/>
        <v>0</v>
      </c>
      <c r="G2175" s="3" t="str">
        <f>HYPERLINK("http://tmmp-catalog.com.ua/katalog/29/18712/","фото")</f>
        <v>фото</v>
      </c>
      <c r="H2175" s="22"/>
    </row>
    <row r="2176" spans="1:8" ht="15" x14ac:dyDescent="0.2">
      <c r="A2176" s="18">
        <v>2000000036847</v>
      </c>
      <c r="B2176" s="19" t="s">
        <v>4384</v>
      </c>
      <c r="C2176" s="20" t="s">
        <v>4385</v>
      </c>
      <c r="D2176" s="2">
        <v>0.3</v>
      </c>
      <c r="E2176" s="21"/>
      <c r="F2176" s="2">
        <f t="shared" si="44"/>
        <v>0</v>
      </c>
      <c r="G2176" s="3" t="str">
        <f>HYPERLINK("http://tmmp-catalog.com.ua/katalog/29/15367/","фото")</f>
        <v>фото</v>
      </c>
      <c r="H2176" s="22"/>
    </row>
    <row r="2177" spans="1:8" ht="15" x14ac:dyDescent="0.2">
      <c r="A2177" s="18">
        <v>2000000036885</v>
      </c>
      <c r="B2177" s="19" t="s">
        <v>4386</v>
      </c>
      <c r="C2177" s="20" t="s">
        <v>4387</v>
      </c>
      <c r="D2177" s="2">
        <v>0.35</v>
      </c>
      <c r="E2177" s="21"/>
      <c r="F2177" s="2">
        <f t="shared" si="44"/>
        <v>0</v>
      </c>
      <c r="G2177" s="3" t="str">
        <f>HYPERLINK("http://tmmp-catalog.com.ua/katalog/29/15368/","фото")</f>
        <v>фото</v>
      </c>
      <c r="H2177" s="22"/>
    </row>
    <row r="2178" spans="1:8" ht="15" x14ac:dyDescent="0.2">
      <c r="A2178" s="18"/>
      <c r="B2178" s="19" t="s">
        <v>4388</v>
      </c>
      <c r="C2178" s="20" t="s">
        <v>4389</v>
      </c>
      <c r="D2178" s="2">
        <v>0.8</v>
      </c>
      <c r="E2178" s="21"/>
      <c r="F2178" s="2">
        <f t="shared" si="44"/>
        <v>0</v>
      </c>
      <c r="G2178" s="3" t="str">
        <f>HYPERLINK("http://tmmp-catalog.com.ua/katalog/29/18805/","фото")</f>
        <v>фото</v>
      </c>
      <c r="H2178" s="22"/>
    </row>
    <row r="2179" spans="1:8" ht="15" x14ac:dyDescent="0.2">
      <c r="A2179" s="18"/>
      <c r="B2179" s="19" t="s">
        <v>4390</v>
      </c>
      <c r="C2179" s="20" t="s">
        <v>4391</v>
      </c>
      <c r="D2179" s="2">
        <v>0.8</v>
      </c>
      <c r="E2179" s="21"/>
      <c r="F2179" s="2">
        <f t="shared" si="44"/>
        <v>0</v>
      </c>
      <c r="G2179" s="3" t="str">
        <f>HYPERLINK("http://tmmp-catalog.com.ua/katalog/29/18806/","фото")</f>
        <v>фото</v>
      </c>
      <c r="H2179" s="22"/>
    </row>
    <row r="2180" spans="1:8" ht="15" x14ac:dyDescent="0.2">
      <c r="A2180" s="18"/>
      <c r="B2180" s="19" t="s">
        <v>4392</v>
      </c>
      <c r="C2180" s="20" t="s">
        <v>4393</v>
      </c>
      <c r="D2180" s="2">
        <v>0.8</v>
      </c>
      <c r="E2180" s="21"/>
      <c r="F2180" s="2">
        <f t="shared" ref="F2180:F2211" si="45">cena*zakaz</f>
        <v>0</v>
      </c>
      <c r="G2180" s="3" t="str">
        <f>HYPERLINK("http://tmmp-catalog.com.ua/katalog/29/18807/","фото")</f>
        <v>фото</v>
      </c>
      <c r="H2180" s="22"/>
    </row>
    <row r="2181" spans="1:8" ht="15" x14ac:dyDescent="0.2">
      <c r="A2181" s="18">
        <v>2000000011806</v>
      </c>
      <c r="B2181" s="19" t="s">
        <v>4394</v>
      </c>
      <c r="C2181" s="20" t="s">
        <v>4395</v>
      </c>
      <c r="D2181" s="2">
        <v>0.35</v>
      </c>
      <c r="E2181" s="21"/>
      <c r="F2181" s="2">
        <f t="shared" si="45"/>
        <v>0</v>
      </c>
      <c r="G2181" s="3" t="str">
        <f>HYPERLINK("http://tmmp-catalog.com.ua/katalog/19/15224/","фото")</f>
        <v>фото</v>
      </c>
      <c r="H2181" s="22"/>
    </row>
    <row r="2182" spans="1:8" ht="15" x14ac:dyDescent="0.2">
      <c r="A2182" s="18">
        <v>2000000036854</v>
      </c>
      <c r="B2182" s="19" t="s">
        <v>4396</v>
      </c>
      <c r="C2182" s="20" t="s">
        <v>4397</v>
      </c>
      <c r="D2182" s="2">
        <v>1.2</v>
      </c>
      <c r="E2182" s="21"/>
      <c r="F2182" s="2">
        <f t="shared" si="45"/>
        <v>0</v>
      </c>
      <c r="G2182" s="3" t="str">
        <f>HYPERLINK("http://tmmp-catalog.com.ua/katalog/29/15369/","фото")</f>
        <v>фото</v>
      </c>
      <c r="H2182" s="22"/>
    </row>
    <row r="2183" spans="1:8" ht="15" x14ac:dyDescent="0.2">
      <c r="A2183" s="18">
        <v>2000000036861</v>
      </c>
      <c r="B2183" s="19" t="s">
        <v>4398</v>
      </c>
      <c r="C2183" s="20" t="s">
        <v>4399</v>
      </c>
      <c r="D2183" s="2">
        <v>1.5</v>
      </c>
      <c r="E2183" s="21"/>
      <c r="F2183" s="2">
        <f t="shared" si="45"/>
        <v>0</v>
      </c>
      <c r="G2183" s="3" t="str">
        <f>HYPERLINK("http://tmmp-catalog.com.ua/katalog/29/15370/","фото")</f>
        <v>фото</v>
      </c>
      <c r="H2183" s="22"/>
    </row>
    <row r="2184" spans="1:8" ht="15" x14ac:dyDescent="0.2">
      <c r="A2184" s="18"/>
      <c r="B2184" s="19" t="s">
        <v>4400</v>
      </c>
      <c r="C2184" s="20" t="s">
        <v>4401</v>
      </c>
      <c r="D2184" s="2">
        <v>1.6</v>
      </c>
      <c r="E2184" s="21"/>
      <c r="F2184" s="2">
        <f t="shared" si="45"/>
        <v>0</v>
      </c>
      <c r="G2184" s="3" t="str">
        <f>HYPERLINK("http://tmmp-catalog.com.ua/katalog/29/18135/","фото")</f>
        <v>фото</v>
      </c>
      <c r="H2184" s="22"/>
    </row>
    <row r="2185" spans="1:8" ht="15" x14ac:dyDescent="0.2">
      <c r="A2185" s="18"/>
      <c r="B2185" s="19" t="s">
        <v>4402</v>
      </c>
      <c r="C2185" s="20" t="s">
        <v>4403</v>
      </c>
      <c r="D2185" s="2">
        <v>3</v>
      </c>
      <c r="E2185" s="21"/>
      <c r="F2185" s="2">
        <f t="shared" si="45"/>
        <v>0</v>
      </c>
      <c r="G2185" s="3" t="str">
        <f>HYPERLINK("http://tmmp-catalog.com.ua/katalog/29/18890/","фото")</f>
        <v>фото</v>
      </c>
      <c r="H2185" s="22"/>
    </row>
    <row r="2186" spans="1:8" ht="15" x14ac:dyDescent="0.2">
      <c r="A2186" s="18"/>
      <c r="B2186" s="19" t="s">
        <v>4404</v>
      </c>
      <c r="C2186" s="20" t="s">
        <v>4405</v>
      </c>
      <c r="D2186" s="2">
        <v>4</v>
      </c>
      <c r="E2186" s="21"/>
      <c r="F2186" s="2">
        <f t="shared" si="45"/>
        <v>0</v>
      </c>
      <c r="G2186" s="3" t="str">
        <f>HYPERLINK("http://tmmp-catalog.com.ua/katalog/29/18889/","фото")</f>
        <v>фото</v>
      </c>
      <c r="H2186" s="22"/>
    </row>
    <row r="2187" spans="1:8" ht="15" x14ac:dyDescent="0.2">
      <c r="A2187" s="18">
        <v>2000000036878</v>
      </c>
      <c r="B2187" s="19" t="s">
        <v>4406</v>
      </c>
      <c r="C2187" s="20" t="s">
        <v>4407</v>
      </c>
      <c r="D2187" s="2">
        <v>1.5</v>
      </c>
      <c r="E2187" s="21"/>
      <c r="F2187" s="2">
        <f t="shared" si="45"/>
        <v>0</v>
      </c>
      <c r="G2187" s="3" t="str">
        <f>HYPERLINK("http://tmmp-catalog.com.ua/katalog/29/15371/","фото")</f>
        <v>фото</v>
      </c>
      <c r="H2187" s="22"/>
    </row>
    <row r="2188" spans="1:8" ht="15" x14ac:dyDescent="0.2">
      <c r="A2188" s="18"/>
      <c r="B2188" s="19" t="s">
        <v>4408</v>
      </c>
      <c r="C2188" s="20" t="s">
        <v>4409</v>
      </c>
      <c r="D2188" s="2">
        <v>3.6</v>
      </c>
      <c r="E2188" s="21"/>
      <c r="F2188" s="2">
        <f t="shared" si="45"/>
        <v>0</v>
      </c>
      <c r="G2188" s="3" t="str">
        <f>HYPERLINK("http://tmmp-catalog.com.ua/katalog/29/18891/","фото")</f>
        <v>фото</v>
      </c>
      <c r="H2188" s="22"/>
    </row>
    <row r="2189" spans="1:8" ht="15" x14ac:dyDescent="0.2">
      <c r="A2189" s="18"/>
      <c r="B2189" s="19" t="s">
        <v>4410</v>
      </c>
      <c r="C2189" s="20" t="s">
        <v>4411</v>
      </c>
      <c r="D2189" s="2">
        <v>4</v>
      </c>
      <c r="E2189" s="21"/>
      <c r="F2189" s="2">
        <f t="shared" si="45"/>
        <v>0</v>
      </c>
      <c r="G2189" s="3" t="str">
        <f>HYPERLINK("http://tmmp-catalog.com.ua/katalog/29/18888/","фото")</f>
        <v>фото</v>
      </c>
      <c r="H2189" s="22"/>
    </row>
    <row r="2190" spans="1:8" ht="15" x14ac:dyDescent="0.2">
      <c r="A2190" s="18">
        <v>2000000036939</v>
      </c>
      <c r="B2190" s="19" t="s">
        <v>4412</v>
      </c>
      <c r="C2190" s="20" t="s">
        <v>4413</v>
      </c>
      <c r="D2190" s="2">
        <v>0.15</v>
      </c>
      <c r="E2190" s="21"/>
      <c r="F2190" s="2">
        <f t="shared" si="45"/>
        <v>0</v>
      </c>
      <c r="G2190" s="3" t="str">
        <f>HYPERLINK("http://tmmp-catalog.com.ua/katalog/29/15376/","фото")</f>
        <v>фото</v>
      </c>
      <c r="H2190" s="22"/>
    </row>
    <row r="2191" spans="1:8" ht="15" x14ac:dyDescent="0.2">
      <c r="A2191" s="18">
        <v>2000000011844</v>
      </c>
      <c r="B2191" s="19" t="s">
        <v>4414</v>
      </c>
      <c r="C2191" s="20" t="s">
        <v>4415</v>
      </c>
      <c r="D2191" s="2">
        <v>0.15</v>
      </c>
      <c r="E2191" s="21"/>
      <c r="F2191" s="2">
        <f t="shared" si="45"/>
        <v>0</v>
      </c>
      <c r="G2191" s="3" t="str">
        <f>HYPERLINK("http://tmmp-catalog.com.ua/katalog/19/15228/","фото")</f>
        <v>фото</v>
      </c>
      <c r="H2191" s="22"/>
    </row>
    <row r="2192" spans="1:8" ht="15" x14ac:dyDescent="0.2">
      <c r="A2192" s="18">
        <v>2000000035482</v>
      </c>
      <c r="B2192" s="19" t="s">
        <v>4416</v>
      </c>
      <c r="C2192" s="20" t="s">
        <v>4417</v>
      </c>
      <c r="D2192" s="2">
        <v>0.05</v>
      </c>
      <c r="E2192" s="21"/>
      <c r="F2192" s="2">
        <f t="shared" si="45"/>
        <v>0</v>
      </c>
      <c r="G2192" s="3" t="str">
        <f>HYPERLINK("http://tmmp-catalog.com.ua/katalog/29/17179/","фото")</f>
        <v>фото</v>
      </c>
      <c r="H2192" s="22"/>
    </row>
    <row r="2193" spans="1:8" ht="15" x14ac:dyDescent="0.2">
      <c r="A2193" s="18">
        <v>2000000035505</v>
      </c>
      <c r="B2193" s="19" t="s">
        <v>4418</v>
      </c>
      <c r="C2193" s="20" t="s">
        <v>4419</v>
      </c>
      <c r="D2193" s="2">
        <v>0.05</v>
      </c>
      <c r="E2193" s="21"/>
      <c r="F2193" s="2">
        <f t="shared" si="45"/>
        <v>0</v>
      </c>
      <c r="G2193" s="3" t="str">
        <f>HYPERLINK("http://tmmp-catalog.com.ua/katalog/29/17180/","фото")</f>
        <v>фото</v>
      </c>
      <c r="H2193" s="22"/>
    </row>
    <row r="2194" spans="1:8" ht="15" x14ac:dyDescent="0.2">
      <c r="A2194" s="18">
        <v>2000000035499</v>
      </c>
      <c r="B2194" s="19" t="s">
        <v>4420</v>
      </c>
      <c r="C2194" s="20" t="s">
        <v>4421</v>
      </c>
      <c r="D2194" s="2">
        <v>0.05</v>
      </c>
      <c r="E2194" s="21"/>
      <c r="F2194" s="2">
        <f t="shared" si="45"/>
        <v>0</v>
      </c>
      <c r="G2194" s="3" t="str">
        <f>HYPERLINK("http://tmmp-catalog.com.ua/katalog/29/17181/","фото")</f>
        <v>фото</v>
      </c>
      <c r="H2194" s="22"/>
    </row>
    <row r="2195" spans="1:8" ht="15" x14ac:dyDescent="0.2">
      <c r="A2195" s="18"/>
      <c r="B2195" s="19" t="s">
        <v>4422</v>
      </c>
      <c r="C2195" s="20" t="s">
        <v>4423</v>
      </c>
      <c r="D2195" s="2">
        <v>0.5</v>
      </c>
      <c r="E2195" s="21"/>
      <c r="F2195" s="2">
        <f t="shared" si="45"/>
        <v>0</v>
      </c>
      <c r="G2195" s="3" t="str">
        <f>HYPERLINK("http://tmmp-catalog.com.ua/katalog/29/17585/","фото")</f>
        <v>фото</v>
      </c>
      <c r="H2195" s="22"/>
    </row>
    <row r="2196" spans="1:8" ht="15" x14ac:dyDescent="0.2">
      <c r="A2196" s="18">
        <v>2000000036977</v>
      </c>
      <c r="B2196" s="19" t="s">
        <v>4424</v>
      </c>
      <c r="C2196" s="20" t="s">
        <v>4425</v>
      </c>
      <c r="D2196" s="2">
        <v>0.13</v>
      </c>
      <c r="E2196" s="21"/>
      <c r="F2196" s="2">
        <f t="shared" si="45"/>
        <v>0</v>
      </c>
      <c r="G2196" s="3" t="str">
        <f>HYPERLINK("http://tmmp-catalog.com.ua/katalog/29/15378/","фото")</f>
        <v>фото</v>
      </c>
      <c r="H2196" s="22"/>
    </row>
    <row r="2197" spans="1:8" ht="15" x14ac:dyDescent="0.2">
      <c r="A2197" s="18">
        <v>2000000036984</v>
      </c>
      <c r="B2197" s="19" t="s">
        <v>4426</v>
      </c>
      <c r="C2197" s="20" t="s">
        <v>4427</v>
      </c>
      <c r="D2197" s="2">
        <v>0.13</v>
      </c>
      <c r="E2197" s="21"/>
      <c r="F2197" s="2">
        <f t="shared" si="45"/>
        <v>0</v>
      </c>
      <c r="G2197" s="3" t="str">
        <f>HYPERLINK("http://tmmp-catalog.com.ua/katalog/29/15379/","фото")</f>
        <v>фото</v>
      </c>
      <c r="H2197" s="22"/>
    </row>
    <row r="2198" spans="1:8" ht="15" x14ac:dyDescent="0.2">
      <c r="A2198" s="18">
        <v>2000000036991</v>
      </c>
      <c r="B2198" s="19" t="s">
        <v>4428</v>
      </c>
      <c r="C2198" s="20" t="s">
        <v>4429</v>
      </c>
      <c r="D2198" s="2">
        <v>0.1</v>
      </c>
      <c r="E2198" s="21"/>
      <c r="F2198" s="2">
        <f t="shared" si="45"/>
        <v>0</v>
      </c>
      <c r="G2198" s="3" t="str">
        <f>HYPERLINK("http://tmmp-catalog.com.ua/katalog/29/15380/","фото")</f>
        <v>фото</v>
      </c>
      <c r="H2198" s="22"/>
    </row>
    <row r="2199" spans="1:8" ht="15" x14ac:dyDescent="0.2">
      <c r="A2199" s="18">
        <v>2000000037004</v>
      </c>
      <c r="B2199" s="19" t="s">
        <v>4430</v>
      </c>
      <c r="C2199" s="20" t="s">
        <v>4431</v>
      </c>
      <c r="D2199" s="2">
        <v>0.35</v>
      </c>
      <c r="E2199" s="21"/>
      <c r="F2199" s="2">
        <f t="shared" si="45"/>
        <v>0</v>
      </c>
      <c r="G2199" s="3" t="str">
        <f>HYPERLINK("http://tmmp-catalog.com.ua/katalog/29/15381/","фото")</f>
        <v>фото</v>
      </c>
      <c r="H2199" s="22"/>
    </row>
    <row r="2200" spans="1:8" ht="15" x14ac:dyDescent="0.2">
      <c r="A2200" s="18"/>
      <c r="B2200" s="19" t="s">
        <v>4432</v>
      </c>
      <c r="C2200" s="20" t="s">
        <v>4433</v>
      </c>
      <c r="D2200" s="2">
        <v>0.4</v>
      </c>
      <c r="E2200" s="21"/>
      <c r="F2200" s="2">
        <f t="shared" si="45"/>
        <v>0</v>
      </c>
      <c r="G2200" s="3" t="str">
        <f>HYPERLINK("http://tmmp-catalog.com.ua/katalog/29/18825/","фото")</f>
        <v>фото</v>
      </c>
      <c r="H2200" s="22"/>
    </row>
    <row r="2201" spans="1:8" ht="15" x14ac:dyDescent="0.2">
      <c r="A2201" s="18"/>
      <c r="B2201" s="19" t="s">
        <v>4434</v>
      </c>
      <c r="C2201" s="20" t="s">
        <v>4435</v>
      </c>
      <c r="D2201" s="2">
        <v>7</v>
      </c>
      <c r="E2201" s="21"/>
      <c r="F2201" s="2">
        <f t="shared" si="45"/>
        <v>0</v>
      </c>
      <c r="G2201" s="3" t="str">
        <f>HYPERLINK("http://tmmp-catalog.com.ua/katalog/29/18711/","фото")</f>
        <v>фото</v>
      </c>
      <c r="H2201" s="22"/>
    </row>
    <row r="2202" spans="1:8" ht="15" x14ac:dyDescent="0.2">
      <c r="A2202" s="18">
        <v>2000000037233</v>
      </c>
      <c r="B2202" s="19" t="s">
        <v>4436</v>
      </c>
      <c r="C2202" s="20" t="s">
        <v>4437</v>
      </c>
      <c r="D2202" s="2">
        <v>3.2</v>
      </c>
      <c r="E2202" s="21"/>
      <c r="F2202" s="2">
        <f t="shared" si="45"/>
        <v>0</v>
      </c>
      <c r="G2202" s="3" t="str">
        <f>HYPERLINK("http://tmmp-catalog.com.ua/katalog/29/15383/","фото")</f>
        <v>фото</v>
      </c>
      <c r="H2202" s="22"/>
    </row>
    <row r="2203" spans="1:8" ht="15" x14ac:dyDescent="0.2">
      <c r="A2203" s="18">
        <v>2000000037240</v>
      </c>
      <c r="B2203" s="19" t="s">
        <v>4438</v>
      </c>
      <c r="C2203" s="20" t="s">
        <v>4439</v>
      </c>
      <c r="D2203" s="2">
        <v>3.6</v>
      </c>
      <c r="E2203" s="21"/>
      <c r="F2203" s="2">
        <f t="shared" si="45"/>
        <v>0</v>
      </c>
      <c r="G2203" s="3" t="str">
        <f>HYPERLINK("http://tmmp-catalog.com.ua/katalog/29/15384/","фото")</f>
        <v>фото</v>
      </c>
      <c r="H2203" s="22"/>
    </row>
    <row r="2204" spans="1:8" ht="15" x14ac:dyDescent="0.2">
      <c r="A2204" s="18">
        <v>2000000037073</v>
      </c>
      <c r="B2204" s="19" t="s">
        <v>4440</v>
      </c>
      <c r="C2204" s="20" t="s">
        <v>4441</v>
      </c>
      <c r="D2204" s="2">
        <v>3.2</v>
      </c>
      <c r="E2204" s="21"/>
      <c r="F2204" s="2">
        <f t="shared" si="45"/>
        <v>0</v>
      </c>
      <c r="G2204" s="3" t="str">
        <f>HYPERLINK("http://tmmp-catalog.com.ua/katalog/29/15385/","фото")</f>
        <v>фото</v>
      </c>
      <c r="H2204" s="22"/>
    </row>
    <row r="2205" spans="1:8" ht="15" x14ac:dyDescent="0.2">
      <c r="A2205" s="18">
        <v>2000000037080</v>
      </c>
      <c r="B2205" s="19" t="s">
        <v>4442</v>
      </c>
      <c r="C2205" s="20" t="s">
        <v>4443</v>
      </c>
      <c r="D2205" s="2">
        <v>3.6</v>
      </c>
      <c r="E2205" s="21"/>
      <c r="F2205" s="2">
        <f t="shared" si="45"/>
        <v>0</v>
      </c>
      <c r="G2205" s="3" t="str">
        <f>HYPERLINK("http://tmmp-catalog.com.ua/katalog/29/15386/","фото")</f>
        <v>фото</v>
      </c>
      <c r="H2205" s="22"/>
    </row>
    <row r="2206" spans="1:8" ht="15" x14ac:dyDescent="0.2">
      <c r="A2206" s="18">
        <v>2000000037103</v>
      </c>
      <c r="B2206" s="19" t="s">
        <v>4444</v>
      </c>
      <c r="C2206" s="20" t="s">
        <v>4445</v>
      </c>
      <c r="D2206" s="2">
        <v>3.6</v>
      </c>
      <c r="E2206" s="21"/>
      <c r="F2206" s="2">
        <f t="shared" si="45"/>
        <v>0</v>
      </c>
      <c r="G2206" s="3" t="str">
        <f>HYPERLINK("http://tmmp-catalog.com.ua/katalog/29/15387/","фото")</f>
        <v>фото</v>
      </c>
      <c r="H2206" s="22"/>
    </row>
    <row r="2207" spans="1:8" ht="15" x14ac:dyDescent="0.2">
      <c r="A2207" s="18">
        <v>2000000037110</v>
      </c>
      <c r="B2207" s="19" t="s">
        <v>4446</v>
      </c>
      <c r="C2207" s="20" t="s">
        <v>4447</v>
      </c>
      <c r="D2207" s="2">
        <v>3.2</v>
      </c>
      <c r="E2207" s="21"/>
      <c r="F2207" s="2">
        <f t="shared" si="45"/>
        <v>0</v>
      </c>
      <c r="G2207" s="3" t="str">
        <f>HYPERLINK("http://tmmp-catalog.com.ua/katalog/29/15388/","фото")</f>
        <v>фото</v>
      </c>
      <c r="H2207" s="22"/>
    </row>
    <row r="2208" spans="1:8" ht="15" x14ac:dyDescent="0.2">
      <c r="A2208" s="18">
        <v>2000000037141</v>
      </c>
      <c r="B2208" s="19" t="s">
        <v>4448</v>
      </c>
      <c r="C2208" s="20" t="s">
        <v>4449</v>
      </c>
      <c r="D2208" s="2">
        <v>4.4000000000000004</v>
      </c>
      <c r="E2208" s="21"/>
      <c r="F2208" s="2">
        <f t="shared" si="45"/>
        <v>0</v>
      </c>
      <c r="G2208" s="3" t="str">
        <f>HYPERLINK("http://tmmp-catalog.com.ua/katalog/29/15390/","фото")</f>
        <v>фото</v>
      </c>
      <c r="H2208" s="22"/>
    </row>
    <row r="2209" spans="1:8" ht="15" x14ac:dyDescent="0.2">
      <c r="A2209" s="18">
        <v>2000000037158</v>
      </c>
      <c r="B2209" s="19" t="s">
        <v>4450</v>
      </c>
      <c r="C2209" s="20" t="s">
        <v>4451</v>
      </c>
      <c r="D2209" s="2">
        <v>4.4000000000000004</v>
      </c>
      <c r="E2209" s="21"/>
      <c r="F2209" s="2">
        <f t="shared" si="45"/>
        <v>0</v>
      </c>
      <c r="G2209" s="3" t="str">
        <f>HYPERLINK("http://tmmp-catalog.com.ua/katalog/29/15391/","фото")</f>
        <v>фото</v>
      </c>
      <c r="H2209" s="22"/>
    </row>
    <row r="2210" spans="1:8" ht="15" x14ac:dyDescent="0.2">
      <c r="A2210" s="18">
        <v>2000000037165</v>
      </c>
      <c r="B2210" s="19" t="s">
        <v>4452</v>
      </c>
      <c r="C2210" s="20" t="s">
        <v>4453</v>
      </c>
      <c r="D2210" s="2">
        <v>4.4000000000000004</v>
      </c>
      <c r="E2210" s="21"/>
      <c r="F2210" s="2">
        <f t="shared" si="45"/>
        <v>0</v>
      </c>
      <c r="G2210" s="3" t="str">
        <f>HYPERLINK("http://tmmp-catalog.com.ua/katalog/29/15392/","фото")</f>
        <v>фото</v>
      </c>
      <c r="H2210" s="22"/>
    </row>
    <row r="2211" spans="1:8" ht="15" x14ac:dyDescent="0.2">
      <c r="A2211" s="18">
        <v>2000000037172</v>
      </c>
      <c r="B2211" s="19" t="s">
        <v>4454</v>
      </c>
      <c r="C2211" s="20" t="s">
        <v>4455</v>
      </c>
      <c r="D2211" s="2">
        <v>4.4000000000000004</v>
      </c>
      <c r="E2211" s="21"/>
      <c r="F2211" s="2">
        <f t="shared" si="45"/>
        <v>0</v>
      </c>
      <c r="G2211" s="3" t="str">
        <f>HYPERLINK("http://tmmp-catalog.com.ua/katalog/29/15393/","фото")</f>
        <v>фото</v>
      </c>
      <c r="H2211" s="22"/>
    </row>
    <row r="2212" spans="1:8" ht="15" x14ac:dyDescent="0.2">
      <c r="A2212" s="18">
        <v>2000000037196</v>
      </c>
      <c r="B2212" s="19" t="s">
        <v>4456</v>
      </c>
      <c r="C2212" s="20" t="s">
        <v>4457</v>
      </c>
      <c r="D2212" s="2">
        <v>4.4000000000000004</v>
      </c>
      <c r="E2212" s="21"/>
      <c r="F2212" s="2">
        <f t="shared" ref="F2212:F2243" si="46">cena*zakaz</f>
        <v>0</v>
      </c>
      <c r="G2212" s="3" t="str">
        <f>HYPERLINK("http://tmmp-catalog.com.ua/katalog/29/15394/","фото")</f>
        <v>фото</v>
      </c>
      <c r="H2212" s="22"/>
    </row>
    <row r="2213" spans="1:8" ht="15" x14ac:dyDescent="0.2">
      <c r="A2213" s="18">
        <v>2000000037202</v>
      </c>
      <c r="B2213" s="19" t="s">
        <v>4458</v>
      </c>
      <c r="C2213" s="20" t="s">
        <v>4459</v>
      </c>
      <c r="D2213" s="2">
        <v>1.1000000000000001</v>
      </c>
      <c r="E2213" s="21"/>
      <c r="F2213" s="2">
        <f t="shared" si="46"/>
        <v>0</v>
      </c>
      <c r="G2213" s="3" t="str">
        <f>HYPERLINK("http://tmmp-catalog.com.ua/katalog/29/15395/","фото")</f>
        <v>фото</v>
      </c>
      <c r="H2213" s="22"/>
    </row>
    <row r="2214" spans="1:8" ht="15" x14ac:dyDescent="0.2">
      <c r="A2214" s="18">
        <v>2000000037226</v>
      </c>
      <c r="B2214" s="19" t="s">
        <v>4460</v>
      </c>
      <c r="C2214" s="20" t="s">
        <v>4461</v>
      </c>
      <c r="D2214" s="2">
        <v>1.1000000000000001</v>
      </c>
      <c r="E2214" s="21"/>
      <c r="F2214" s="2">
        <f t="shared" si="46"/>
        <v>0</v>
      </c>
      <c r="G2214" s="3" t="str">
        <f>HYPERLINK("http://tmmp-catalog.com.ua/katalog/29/15396/","фото")</f>
        <v>фото</v>
      </c>
      <c r="H2214" s="22"/>
    </row>
    <row r="2215" spans="1:8" ht="15" x14ac:dyDescent="0.2">
      <c r="A2215" s="18">
        <v>2000000037127</v>
      </c>
      <c r="B2215" s="19" t="s">
        <v>4462</v>
      </c>
      <c r="C2215" s="20" t="s">
        <v>4463</v>
      </c>
      <c r="D2215" s="2">
        <v>0.35</v>
      </c>
      <c r="E2215" s="21"/>
      <c r="F2215" s="2">
        <f t="shared" si="46"/>
        <v>0</v>
      </c>
      <c r="G2215" s="3" t="str">
        <f>HYPERLINK("http://tmmp-catalog.com.ua/katalog/29/15401/","фото")</f>
        <v>фото</v>
      </c>
      <c r="H2215" s="22"/>
    </row>
    <row r="2216" spans="1:8" ht="15" x14ac:dyDescent="0.2">
      <c r="A2216" s="18"/>
      <c r="B2216" s="19" t="s">
        <v>4464</v>
      </c>
      <c r="C2216" s="20" t="s">
        <v>4465</v>
      </c>
      <c r="D2216" s="2">
        <v>1.9</v>
      </c>
      <c r="E2216" s="21"/>
      <c r="F2216" s="2">
        <f t="shared" si="46"/>
        <v>0</v>
      </c>
      <c r="G2216" s="3" t="str">
        <f>HYPERLINK("http://tmmp-catalog.com.ua/katalog/29/15402/","фото")</f>
        <v>фото</v>
      </c>
      <c r="H2216" s="22"/>
    </row>
    <row r="2217" spans="1:8" ht="15" x14ac:dyDescent="0.2">
      <c r="A2217" s="18">
        <v>2000000023960</v>
      </c>
      <c r="B2217" s="19" t="s">
        <v>4466</v>
      </c>
      <c r="C2217" s="20" t="s">
        <v>4467</v>
      </c>
      <c r="D2217" s="2">
        <v>1.8</v>
      </c>
      <c r="E2217" s="21"/>
      <c r="F2217" s="2">
        <f t="shared" si="46"/>
        <v>0</v>
      </c>
      <c r="G2217" s="3" t="str">
        <f>HYPERLINK("http://tmmp-catalog.com.ua/katalog/29/15404/","фото")</f>
        <v>фото</v>
      </c>
      <c r="H2217" s="22"/>
    </row>
    <row r="2218" spans="1:8" ht="15" x14ac:dyDescent="0.2">
      <c r="A2218" s="18">
        <v>2000000023977</v>
      </c>
      <c r="B2218" s="19" t="s">
        <v>4468</v>
      </c>
      <c r="C2218" s="20" t="s">
        <v>4469</v>
      </c>
      <c r="D2218" s="2">
        <v>3.2</v>
      </c>
      <c r="E2218" s="21"/>
      <c r="F2218" s="2">
        <f t="shared" si="46"/>
        <v>0</v>
      </c>
      <c r="G2218" s="3" t="str">
        <f>HYPERLINK("http://tmmp-catalog.com.ua/katalog/29/15405/","фото")</f>
        <v>фото</v>
      </c>
      <c r="H2218" s="22"/>
    </row>
    <row r="2219" spans="1:8" ht="15" x14ac:dyDescent="0.2">
      <c r="A2219" s="18"/>
      <c r="B2219" s="19" t="s">
        <v>4470</v>
      </c>
      <c r="C2219" s="20" t="s">
        <v>4471</v>
      </c>
      <c r="D2219" s="2">
        <v>0.9</v>
      </c>
      <c r="E2219" s="21"/>
      <c r="F2219" s="2">
        <f t="shared" si="46"/>
        <v>0</v>
      </c>
      <c r="G2219" s="3" t="str">
        <f>HYPERLINK("http://tmmp-catalog.com.ua/katalog/37/18693/","фото")</f>
        <v>фото</v>
      </c>
      <c r="H2219" s="22"/>
    </row>
    <row r="2220" spans="1:8" ht="15" x14ac:dyDescent="0.2">
      <c r="A2220" s="18">
        <v>2000000037189</v>
      </c>
      <c r="B2220" s="19" t="s">
        <v>4472</v>
      </c>
      <c r="C2220" s="20" t="s">
        <v>4473</v>
      </c>
      <c r="D2220" s="2">
        <v>0.2</v>
      </c>
      <c r="E2220" s="21"/>
      <c r="F2220" s="2">
        <f t="shared" si="46"/>
        <v>0</v>
      </c>
      <c r="G2220" s="3" t="str">
        <f>HYPERLINK("http://tmmp-catalog.com.ua/katalog/29/15406/","фото")</f>
        <v>фото</v>
      </c>
      <c r="H2220" s="22"/>
    </row>
    <row r="2221" spans="1:8" ht="15" x14ac:dyDescent="0.2">
      <c r="A2221" s="18"/>
      <c r="B2221" s="19" t="s">
        <v>4474</v>
      </c>
      <c r="C2221" s="20" t="s">
        <v>4475</v>
      </c>
      <c r="D2221" s="2">
        <v>0.2</v>
      </c>
      <c r="E2221" s="21"/>
      <c r="F2221" s="2">
        <f t="shared" si="46"/>
        <v>0</v>
      </c>
      <c r="G2221" s="3" t="str">
        <f>HYPERLINK("http://tmmp-catalog.com.ua/katalog/19/15223/","фото")</f>
        <v>фото</v>
      </c>
      <c r="H2221" s="22"/>
    </row>
    <row r="2222" spans="1:8" ht="15" x14ac:dyDescent="0.2">
      <c r="A2222" s="18">
        <v>2000000011790</v>
      </c>
      <c r="B2222" s="19" t="s">
        <v>4476</v>
      </c>
      <c r="C2222" s="20" t="s">
        <v>4477</v>
      </c>
      <c r="D2222" s="2">
        <v>0.2</v>
      </c>
      <c r="E2222" s="21"/>
      <c r="F2222" s="2">
        <f t="shared" si="46"/>
        <v>0</v>
      </c>
      <c r="G2222" s="3" t="str">
        <f>HYPERLINK("http://tmmp-catalog.com.ua/katalog/19/15223/","фото")</f>
        <v>фото</v>
      </c>
      <c r="H2222" s="22"/>
    </row>
    <row r="2223" spans="1:8" ht="15" x14ac:dyDescent="0.2">
      <c r="A2223" s="18">
        <v>2000000011851</v>
      </c>
      <c r="B2223" s="19" t="s">
        <v>4478</v>
      </c>
      <c r="C2223" s="20" t="s">
        <v>4479</v>
      </c>
      <c r="D2223" s="2">
        <v>0.5</v>
      </c>
      <c r="E2223" s="21"/>
      <c r="F2223" s="2">
        <f t="shared" si="46"/>
        <v>0</v>
      </c>
      <c r="G2223" s="3" t="str">
        <f>HYPERLINK("http://tmmp-catalog.com.ua/katalog/19/15229/","фото")</f>
        <v>фото</v>
      </c>
      <c r="H2223" s="22"/>
    </row>
    <row r="2224" spans="1:8" ht="15" x14ac:dyDescent="0.2">
      <c r="A2224" s="18"/>
      <c r="B2224" s="19" t="s">
        <v>4480</v>
      </c>
      <c r="C2224" s="20" t="s">
        <v>4481</v>
      </c>
      <c r="D2224" s="2">
        <v>1</v>
      </c>
      <c r="E2224" s="21"/>
      <c r="F2224" s="2">
        <f t="shared" si="46"/>
        <v>0</v>
      </c>
      <c r="G2224" s="3" t="str">
        <f>HYPERLINK("http://tmmp-catalog.com.ua/katalog/29/17648/","фото")</f>
        <v>фото</v>
      </c>
      <c r="H2224" s="22"/>
    </row>
    <row r="2225" spans="1:8" ht="15" x14ac:dyDescent="0.2">
      <c r="A2225" s="18">
        <v>2000000024004</v>
      </c>
      <c r="B2225" s="19" t="s">
        <v>4482</v>
      </c>
      <c r="C2225" s="20" t="s">
        <v>4483</v>
      </c>
      <c r="D2225" s="2">
        <v>1.2</v>
      </c>
      <c r="E2225" s="21"/>
      <c r="F2225" s="2">
        <f t="shared" si="46"/>
        <v>0</v>
      </c>
      <c r="G2225" s="3" t="str">
        <f>HYPERLINK("http://tmmp-catalog.com.ua/katalog/29/15412/","фото")</f>
        <v>фото</v>
      </c>
      <c r="H2225" s="22"/>
    </row>
    <row r="2226" spans="1:8" ht="15" x14ac:dyDescent="0.2">
      <c r="A2226" s="18"/>
      <c r="B2226" s="19" t="s">
        <v>4484</v>
      </c>
      <c r="C2226" s="20" t="s">
        <v>4485</v>
      </c>
      <c r="D2226" s="2">
        <v>3</v>
      </c>
      <c r="E2226" s="21"/>
      <c r="F2226" s="2">
        <f t="shared" si="46"/>
        <v>0</v>
      </c>
      <c r="G2226" s="3" t="str">
        <f>HYPERLINK("http://tmmp-catalog.com.ua/katalog/17/18125/","фото")</f>
        <v>фото</v>
      </c>
      <c r="H2226" s="22"/>
    </row>
    <row r="2227" spans="1:8" ht="15" x14ac:dyDescent="0.2">
      <c r="A2227" s="18"/>
      <c r="B2227" s="19" t="s">
        <v>4486</v>
      </c>
      <c r="C2227" s="20" t="s">
        <v>4487</v>
      </c>
      <c r="D2227" s="2">
        <v>1.3</v>
      </c>
      <c r="E2227" s="21"/>
      <c r="F2227" s="2">
        <f t="shared" si="46"/>
        <v>0</v>
      </c>
      <c r="G2227" s="3" t="str">
        <f>HYPERLINK("http://tmmp-catalog.com.ua/katalog/29/17949/","фото")</f>
        <v>фото</v>
      </c>
      <c r="H2227" s="22"/>
    </row>
    <row r="2228" spans="1:8" ht="15" x14ac:dyDescent="0.2">
      <c r="A2228" s="18">
        <v>2000000024011</v>
      </c>
      <c r="B2228" s="19" t="s">
        <v>4488</v>
      </c>
      <c r="C2228" s="20" t="s">
        <v>4489</v>
      </c>
      <c r="D2228" s="2">
        <v>1.9</v>
      </c>
      <c r="E2228" s="21"/>
      <c r="F2228" s="2">
        <f t="shared" si="46"/>
        <v>0</v>
      </c>
      <c r="G2228" s="3" t="str">
        <f>HYPERLINK("http://tmmp-catalog.com.ua/katalog/29/15415/","фото")</f>
        <v>фото</v>
      </c>
      <c r="H2228" s="22"/>
    </row>
    <row r="2229" spans="1:8" ht="15" x14ac:dyDescent="0.2">
      <c r="A2229" s="18">
        <v>2000000024028</v>
      </c>
      <c r="B2229" s="19" t="s">
        <v>4490</v>
      </c>
      <c r="C2229" s="20" t="s">
        <v>4491</v>
      </c>
      <c r="D2229" s="2">
        <v>1.2</v>
      </c>
      <c r="E2229" s="21"/>
      <c r="F2229" s="2">
        <f t="shared" si="46"/>
        <v>0</v>
      </c>
      <c r="G2229" s="3" t="str">
        <f>HYPERLINK("http://tmmp-catalog.com.ua/katalog/29/15414/","фото")</f>
        <v>фото</v>
      </c>
      <c r="H2229" s="22"/>
    </row>
    <row r="2230" spans="1:8" ht="15" x14ac:dyDescent="0.2">
      <c r="A2230" s="18"/>
      <c r="B2230" s="19" t="s">
        <v>4492</v>
      </c>
      <c r="C2230" s="20" t="s">
        <v>4493</v>
      </c>
      <c r="D2230" s="2">
        <v>1.4</v>
      </c>
      <c r="E2230" s="21"/>
      <c r="F2230" s="2">
        <f t="shared" si="46"/>
        <v>0</v>
      </c>
      <c r="G2230" s="3" t="str">
        <f>HYPERLINK("http://tmmp-catalog.com.ua/katalog/29/17440/","фото")</f>
        <v>фото</v>
      </c>
      <c r="H2230" s="22"/>
    </row>
    <row r="2231" spans="1:8" ht="15" x14ac:dyDescent="0.2">
      <c r="A2231" s="18"/>
      <c r="B2231" s="19" t="s">
        <v>4494</v>
      </c>
      <c r="C2231" s="20" t="s">
        <v>4495</v>
      </c>
      <c r="D2231" s="2">
        <v>1.4</v>
      </c>
      <c r="E2231" s="21"/>
      <c r="F2231" s="2">
        <f t="shared" si="46"/>
        <v>0</v>
      </c>
      <c r="G2231" s="3" t="str">
        <f>HYPERLINK("http://tmmp-catalog.com.ua/katalog/29/17441/","фото")</f>
        <v>фото</v>
      </c>
      <c r="H2231" s="22"/>
    </row>
    <row r="2232" spans="1:8" ht="15" x14ac:dyDescent="0.2">
      <c r="A2232" s="18">
        <v>2000000037295</v>
      </c>
      <c r="B2232" s="19" t="s">
        <v>4496</v>
      </c>
      <c r="C2232" s="20" t="s">
        <v>4497</v>
      </c>
      <c r="D2232" s="2">
        <v>1</v>
      </c>
      <c r="E2232" s="21"/>
      <c r="F2232" s="2">
        <f t="shared" si="46"/>
        <v>0</v>
      </c>
      <c r="G2232" s="3" t="str">
        <f>HYPERLINK("http://tmmp-catalog.com.ua/katalog/29/15418/","фото")</f>
        <v>фото</v>
      </c>
      <c r="H2232" s="22"/>
    </row>
    <row r="2233" spans="1:8" ht="15" x14ac:dyDescent="0.2">
      <c r="A2233" s="18"/>
      <c r="B2233" s="19" t="s">
        <v>4498</v>
      </c>
      <c r="C2233" s="20" t="s">
        <v>4499</v>
      </c>
      <c r="D2233" s="2">
        <v>1</v>
      </c>
      <c r="E2233" s="21"/>
      <c r="F2233" s="2">
        <f t="shared" si="46"/>
        <v>0</v>
      </c>
      <c r="G2233" s="3" t="str">
        <f>HYPERLINK("http://tmmp-catalog.com.ua/katalog/29/18647/","фото")</f>
        <v>фото</v>
      </c>
      <c r="H2233" s="22"/>
    </row>
    <row r="2234" spans="1:8" ht="15" x14ac:dyDescent="0.2">
      <c r="A2234" s="18">
        <v>2000000037301</v>
      </c>
      <c r="B2234" s="19" t="s">
        <v>4500</v>
      </c>
      <c r="C2234" s="20" t="s">
        <v>4501</v>
      </c>
      <c r="D2234" s="2">
        <v>0.2</v>
      </c>
      <c r="E2234" s="21"/>
      <c r="F2234" s="2">
        <f t="shared" si="46"/>
        <v>0</v>
      </c>
      <c r="G2234" s="3" t="str">
        <f>HYPERLINK("http://tmmp-catalog.com.ua/katalog/29/15419/","фото")</f>
        <v>фото</v>
      </c>
      <c r="H2234" s="22"/>
    </row>
    <row r="2235" spans="1:8" ht="15" x14ac:dyDescent="0.2">
      <c r="A2235" s="18">
        <v>2000000011868</v>
      </c>
      <c r="B2235" s="19" t="s">
        <v>4502</v>
      </c>
      <c r="C2235" s="20" t="s">
        <v>4503</v>
      </c>
      <c r="D2235" s="2">
        <v>0.35</v>
      </c>
      <c r="E2235" s="21"/>
      <c r="F2235" s="2">
        <f t="shared" si="46"/>
        <v>0</v>
      </c>
      <c r="G2235" s="3" t="str">
        <f>HYPERLINK("http://tmmp-catalog.com.ua/katalog/19/15230/","фото")</f>
        <v>фото</v>
      </c>
      <c r="H2235" s="22"/>
    </row>
    <row r="2236" spans="1:8" ht="15" x14ac:dyDescent="0.2">
      <c r="A2236" s="18"/>
      <c r="B2236" s="19" t="s">
        <v>4504</v>
      </c>
      <c r="C2236" s="20" t="s">
        <v>4505</v>
      </c>
      <c r="D2236" s="2">
        <v>0.3</v>
      </c>
      <c r="E2236" s="21"/>
      <c r="F2236" s="2">
        <f t="shared" si="46"/>
        <v>0</v>
      </c>
      <c r="G2236" s="3" t="str">
        <f>HYPERLINK("http://tmmp-catalog.com.ua/katalog/37/18372/","фото")</f>
        <v>фото</v>
      </c>
      <c r="H2236" s="22"/>
    </row>
    <row r="2237" spans="1:8" ht="15" x14ac:dyDescent="0.2">
      <c r="A2237" s="18">
        <v>2000000036304</v>
      </c>
      <c r="B2237" s="19" t="s">
        <v>4506</v>
      </c>
      <c r="C2237" s="20" t="s">
        <v>4507</v>
      </c>
      <c r="D2237" s="2">
        <v>0.75</v>
      </c>
      <c r="E2237" s="21"/>
      <c r="F2237" s="2">
        <f t="shared" si="46"/>
        <v>0</v>
      </c>
      <c r="G2237" s="3" t="str">
        <f>HYPERLINK("http://tmmp-catalog.com.ua/katalog/29/15351/","фото")</f>
        <v>фото</v>
      </c>
      <c r="H2237" s="22"/>
    </row>
    <row r="2238" spans="1:8" ht="15" x14ac:dyDescent="0.2">
      <c r="A2238" s="18">
        <v>2000000035925</v>
      </c>
      <c r="B2238" s="19" t="s">
        <v>4508</v>
      </c>
      <c r="C2238" s="20" t="s">
        <v>4509</v>
      </c>
      <c r="D2238" s="2">
        <v>0.15</v>
      </c>
      <c r="E2238" s="21"/>
      <c r="F2238" s="2">
        <f t="shared" si="46"/>
        <v>0</v>
      </c>
      <c r="G2238" s="3" t="str">
        <f>HYPERLINK("http://tmmp-catalog.com.ua/katalog/29/15423/","фото")</f>
        <v>фото</v>
      </c>
      <c r="H2238" s="22"/>
    </row>
    <row r="2239" spans="1:8" ht="15" x14ac:dyDescent="0.2">
      <c r="A2239" s="18">
        <v>2000000035932</v>
      </c>
      <c r="B2239" s="19" t="s">
        <v>4510</v>
      </c>
      <c r="C2239" s="20" t="s">
        <v>4511</v>
      </c>
      <c r="D2239" s="2">
        <v>0.15</v>
      </c>
      <c r="E2239" s="21"/>
      <c r="F2239" s="2">
        <f t="shared" si="46"/>
        <v>0</v>
      </c>
      <c r="G2239" s="3" t="str">
        <f>HYPERLINK("http://tmmp-catalog.com.ua/katalog/29/15424/","фото")</f>
        <v>фото</v>
      </c>
      <c r="H2239" s="22"/>
    </row>
    <row r="2240" spans="1:8" ht="15" x14ac:dyDescent="0.2">
      <c r="A2240" s="18">
        <v>2000000035949</v>
      </c>
      <c r="B2240" s="19" t="s">
        <v>4512</v>
      </c>
      <c r="C2240" s="20" t="s">
        <v>4513</v>
      </c>
      <c r="D2240" s="2">
        <v>0.25</v>
      </c>
      <c r="E2240" s="21"/>
      <c r="F2240" s="2">
        <f t="shared" si="46"/>
        <v>0</v>
      </c>
      <c r="G2240" s="3" t="str">
        <f>HYPERLINK("http://tmmp-catalog.com.ua/katalog/29/15425/","фото")</f>
        <v>фото</v>
      </c>
      <c r="H2240" s="22"/>
    </row>
    <row r="2241" spans="1:8" ht="15" x14ac:dyDescent="0.2">
      <c r="A2241" s="18"/>
      <c r="B2241" s="19" t="s">
        <v>4514</v>
      </c>
      <c r="C2241" s="20" t="s">
        <v>4515</v>
      </c>
      <c r="D2241" s="2">
        <v>0.12</v>
      </c>
      <c r="E2241" s="21"/>
      <c r="F2241" s="2">
        <f t="shared" si="46"/>
        <v>0</v>
      </c>
      <c r="G2241" s="3" t="str">
        <f>HYPERLINK("http://tmmp-catalog.com.ua/katalog/37/18529/","фото")</f>
        <v>фото</v>
      </c>
      <c r="H2241" s="22"/>
    </row>
    <row r="2242" spans="1:8" ht="15" x14ac:dyDescent="0.2">
      <c r="A2242" s="18">
        <v>2000000035987</v>
      </c>
      <c r="B2242" s="19" t="s">
        <v>4516</v>
      </c>
      <c r="C2242" s="20" t="s">
        <v>4517</v>
      </c>
      <c r="D2242" s="2">
        <v>0.45</v>
      </c>
      <c r="E2242" s="21"/>
      <c r="F2242" s="2">
        <f t="shared" si="46"/>
        <v>0</v>
      </c>
      <c r="G2242" s="3" t="str">
        <f>HYPERLINK("http://tmmp-catalog.com.ua/katalog/29/15426/","фото")</f>
        <v>фото</v>
      </c>
      <c r="H2242" s="22"/>
    </row>
    <row r="2243" spans="1:8" ht="15" x14ac:dyDescent="0.2">
      <c r="A2243" s="18">
        <v>2000000035994</v>
      </c>
      <c r="B2243" s="19" t="s">
        <v>4518</v>
      </c>
      <c r="C2243" s="20" t="s">
        <v>4519</v>
      </c>
      <c r="D2243" s="2">
        <v>0.45</v>
      </c>
      <c r="E2243" s="21"/>
      <c r="F2243" s="2">
        <f t="shared" si="46"/>
        <v>0</v>
      </c>
      <c r="G2243" s="3" t="str">
        <f>HYPERLINK("http://tmmp-catalog.com.ua/katalog/29/15427/","фото")</f>
        <v>фото</v>
      </c>
      <c r="H2243" s="22"/>
    </row>
    <row r="2244" spans="1:8" ht="15" x14ac:dyDescent="0.2">
      <c r="A2244" s="18">
        <v>2000000036892</v>
      </c>
      <c r="B2244" s="19" t="s">
        <v>4520</v>
      </c>
      <c r="C2244" s="20" t="s">
        <v>4521</v>
      </c>
      <c r="D2244" s="2">
        <v>4.5</v>
      </c>
      <c r="E2244" s="21"/>
      <c r="F2244" s="2">
        <f t="shared" ref="F2244:F2256" si="47">cena*zakaz</f>
        <v>0</v>
      </c>
      <c r="G2244" s="3" t="str">
        <f>HYPERLINK("http://tmmp-catalog.com.ua/katalog/29/15372/","фото")</f>
        <v>фото</v>
      </c>
      <c r="H2244" s="22"/>
    </row>
    <row r="2245" spans="1:8" ht="15" x14ac:dyDescent="0.2">
      <c r="A2245" s="18">
        <v>2000000036908</v>
      </c>
      <c r="B2245" s="19" t="s">
        <v>4522</v>
      </c>
      <c r="C2245" s="20" t="s">
        <v>4523</v>
      </c>
      <c r="D2245" s="2">
        <v>5.5</v>
      </c>
      <c r="E2245" s="21"/>
      <c r="F2245" s="2">
        <f t="shared" si="47"/>
        <v>0</v>
      </c>
      <c r="G2245" s="3" t="str">
        <f>HYPERLINK("http://tmmp-catalog.com.ua/katalog/29/15373/","фото")</f>
        <v>фото</v>
      </c>
      <c r="H2245" s="22"/>
    </row>
    <row r="2246" spans="1:8" ht="15" x14ac:dyDescent="0.2">
      <c r="A2246" s="18">
        <v>2000000036915</v>
      </c>
      <c r="B2246" s="19" t="s">
        <v>4524</v>
      </c>
      <c r="C2246" s="20" t="s">
        <v>4525</v>
      </c>
      <c r="D2246" s="2">
        <v>5.4</v>
      </c>
      <c r="E2246" s="21"/>
      <c r="F2246" s="2">
        <f t="shared" si="47"/>
        <v>0</v>
      </c>
      <c r="G2246" s="3" t="str">
        <f>HYPERLINK("http://tmmp-catalog.com.ua/katalog/29/15374/","фото")</f>
        <v>фото</v>
      </c>
      <c r="H2246" s="22"/>
    </row>
    <row r="2247" spans="1:8" ht="15" x14ac:dyDescent="0.2">
      <c r="A2247" s="18"/>
      <c r="B2247" s="19" t="s">
        <v>4526</v>
      </c>
      <c r="C2247" s="20" t="s">
        <v>4527</v>
      </c>
      <c r="D2247" s="2">
        <v>8.5</v>
      </c>
      <c r="E2247" s="21"/>
      <c r="F2247" s="2">
        <f t="shared" si="47"/>
        <v>0</v>
      </c>
      <c r="G2247" s="3" t="str">
        <f>HYPERLINK("http://tmmp-catalog.com.ua/katalog/29/18887/","фото")</f>
        <v>фото</v>
      </c>
      <c r="H2247" s="22"/>
    </row>
    <row r="2248" spans="1:8" ht="15" x14ac:dyDescent="0.2">
      <c r="A2248" s="18">
        <v>2000000036922</v>
      </c>
      <c r="B2248" s="19" t="s">
        <v>4528</v>
      </c>
      <c r="C2248" s="20" t="s">
        <v>4529</v>
      </c>
      <c r="D2248" s="2">
        <v>5.75</v>
      </c>
      <c r="E2248" s="21"/>
      <c r="F2248" s="2">
        <f t="shared" si="47"/>
        <v>0</v>
      </c>
      <c r="G2248" s="3" t="str">
        <f>HYPERLINK("http://tmmp-catalog.com.ua/katalog/29/15375/","фото")</f>
        <v>фото</v>
      </c>
      <c r="H2248" s="22"/>
    </row>
    <row r="2249" spans="1:8" ht="15" x14ac:dyDescent="0.2">
      <c r="A2249" s="18"/>
      <c r="B2249" s="19" t="s">
        <v>4530</v>
      </c>
      <c r="C2249" s="20" t="s">
        <v>4531</v>
      </c>
      <c r="D2249" s="2">
        <v>0.3</v>
      </c>
      <c r="E2249" s="21"/>
      <c r="F2249" s="2">
        <f t="shared" si="47"/>
        <v>0</v>
      </c>
      <c r="G2249" s="3" t="str">
        <f>HYPERLINK("http://tmmp-catalog.com.ua/katalog/37/18553/","фото")</f>
        <v>фото</v>
      </c>
      <c r="H2249" s="22"/>
    </row>
    <row r="2250" spans="1:8" ht="15" x14ac:dyDescent="0.2">
      <c r="A2250" s="18">
        <v>2000000011882</v>
      </c>
      <c r="B2250" s="19" t="s">
        <v>4532</v>
      </c>
      <c r="C2250" s="20" t="s">
        <v>4533</v>
      </c>
      <c r="D2250" s="2">
        <v>0.2</v>
      </c>
      <c r="E2250" s="21"/>
      <c r="F2250" s="2">
        <f t="shared" si="47"/>
        <v>0</v>
      </c>
      <c r="G2250" s="3" t="str">
        <f>HYPERLINK("http://tmmp-catalog.com.ua/katalog/19/15232/","фото")</f>
        <v>фото</v>
      </c>
      <c r="H2250" s="22"/>
    </row>
    <row r="2251" spans="1:8" ht="15" x14ac:dyDescent="0.2">
      <c r="A2251" s="18">
        <v>2000000011899</v>
      </c>
      <c r="B2251" s="19" t="s">
        <v>4534</v>
      </c>
      <c r="C2251" s="20" t="s">
        <v>4535</v>
      </c>
      <c r="D2251" s="2">
        <v>0.3</v>
      </c>
      <c r="E2251" s="21"/>
      <c r="F2251" s="2">
        <f t="shared" si="47"/>
        <v>0</v>
      </c>
      <c r="G2251" s="3" t="str">
        <f>HYPERLINK("http://tmmp-catalog.com.ua/katalog/19/15233/","фото")</f>
        <v>фото</v>
      </c>
      <c r="H2251" s="22"/>
    </row>
    <row r="2252" spans="1:8" ht="15" x14ac:dyDescent="0.2">
      <c r="A2252" s="18">
        <v>2000000011905</v>
      </c>
      <c r="B2252" s="19" t="s">
        <v>4536</v>
      </c>
      <c r="C2252" s="20" t="s">
        <v>4537</v>
      </c>
      <c r="D2252" s="2">
        <v>0.2</v>
      </c>
      <c r="E2252" s="21"/>
      <c r="F2252" s="2">
        <f t="shared" si="47"/>
        <v>0</v>
      </c>
      <c r="G2252" s="3" t="str">
        <f>HYPERLINK("http://tmmp-catalog.com.ua/katalog/19/15234/","фото")</f>
        <v>фото</v>
      </c>
      <c r="H2252" s="22"/>
    </row>
    <row r="2253" spans="1:8" ht="15" x14ac:dyDescent="0.2">
      <c r="A2253" s="18">
        <v>2000000011912</v>
      </c>
      <c r="B2253" s="19" t="s">
        <v>4538</v>
      </c>
      <c r="C2253" s="20" t="s">
        <v>4539</v>
      </c>
      <c r="D2253" s="2">
        <v>7.0000000000000007E-2</v>
      </c>
      <c r="E2253" s="21"/>
      <c r="F2253" s="2">
        <f t="shared" si="47"/>
        <v>0</v>
      </c>
      <c r="G2253" s="3" t="str">
        <f>HYPERLINK("http://tmmp-catalog.com.ua/katalog/19/15235/","фото")</f>
        <v>фото</v>
      </c>
      <c r="H2253" s="22"/>
    </row>
    <row r="2254" spans="1:8" ht="15" x14ac:dyDescent="0.2">
      <c r="A2254" s="18">
        <v>2000000036052</v>
      </c>
      <c r="B2254" s="19" t="s">
        <v>4540</v>
      </c>
      <c r="C2254" s="20" t="s">
        <v>4541</v>
      </c>
      <c r="D2254" s="2">
        <v>5</v>
      </c>
      <c r="E2254" s="21"/>
      <c r="F2254" s="2">
        <f t="shared" si="47"/>
        <v>0</v>
      </c>
      <c r="G2254" s="3" t="str">
        <f>HYPERLINK("http://tmmp-catalog.com.ua/katalog/29/15433/","фото")</f>
        <v>фото</v>
      </c>
      <c r="H2254" s="22"/>
    </row>
    <row r="2255" spans="1:8" ht="15" x14ac:dyDescent="0.2">
      <c r="A2255" s="18">
        <v>2000000036069</v>
      </c>
      <c r="B2255" s="19" t="s">
        <v>4542</v>
      </c>
      <c r="C2255" s="20" t="s">
        <v>4543</v>
      </c>
      <c r="D2255" s="2">
        <v>5</v>
      </c>
      <c r="E2255" s="21"/>
      <c r="F2255" s="2">
        <f t="shared" si="47"/>
        <v>0</v>
      </c>
      <c r="G2255" s="3" t="str">
        <f>HYPERLINK("http://tmmp-catalog.com.ua/katalog/29/15434/","фото")</f>
        <v>фото</v>
      </c>
      <c r="H2255" s="22"/>
    </row>
    <row r="2256" spans="1:8" ht="15" x14ac:dyDescent="0.2">
      <c r="A2256" s="18">
        <v>2000000037066</v>
      </c>
      <c r="B2256" s="19" t="s">
        <v>4544</v>
      </c>
      <c r="C2256" s="20" t="s">
        <v>4545</v>
      </c>
      <c r="D2256" s="2">
        <v>0.25</v>
      </c>
      <c r="E2256" s="21"/>
      <c r="F2256" s="2">
        <f t="shared" si="47"/>
        <v>0</v>
      </c>
      <c r="G2256" s="3" t="str">
        <f>HYPERLINK("http://tmmp-catalog.com.ua/katalog/29/15441/","фото")</f>
        <v>фото</v>
      </c>
      <c r="H2256" s="22"/>
    </row>
    <row r="2257" spans="1:8" ht="23.25" x14ac:dyDescent="0.2">
      <c r="A2257" s="18"/>
      <c r="B2257" s="51"/>
      <c r="C2257" s="56" t="s">
        <v>31</v>
      </c>
      <c r="D2257" s="52"/>
      <c r="E2257" s="53"/>
      <c r="F2257" s="52"/>
      <c r="G2257" s="54"/>
      <c r="H2257" s="55"/>
    </row>
    <row r="2258" spans="1:8" ht="15" x14ac:dyDescent="0.2">
      <c r="A2258" s="18"/>
      <c r="B2258" s="19" t="s">
        <v>4546</v>
      </c>
      <c r="C2258" s="20" t="s">
        <v>4547</v>
      </c>
      <c r="D2258" s="2">
        <v>0.5</v>
      </c>
      <c r="E2258" s="21"/>
      <c r="F2258" s="2">
        <f t="shared" ref="F2258:F2288" si="48">cena*zakaz</f>
        <v>0</v>
      </c>
      <c r="G2258" s="3" t="str">
        <f>HYPERLINK("http://tmmp-catalog.com.ua/katalog/17/18104/","фото")</f>
        <v>фото</v>
      </c>
      <c r="H2258" s="22"/>
    </row>
    <row r="2259" spans="1:8" ht="15" x14ac:dyDescent="0.2">
      <c r="A2259" s="18"/>
      <c r="B2259" s="19" t="s">
        <v>4548</v>
      </c>
      <c r="C2259" s="20" t="s">
        <v>4549</v>
      </c>
      <c r="D2259" s="2">
        <v>7</v>
      </c>
      <c r="E2259" s="21"/>
      <c r="F2259" s="2">
        <f t="shared" si="48"/>
        <v>0</v>
      </c>
      <c r="G2259" s="3" t="str">
        <f>HYPERLINK("http://tmmp-catalog.com.ua/katalog/17/18268/","фото")</f>
        <v>фото</v>
      </c>
      <c r="H2259" s="22"/>
    </row>
    <row r="2260" spans="1:8" ht="15" x14ac:dyDescent="0.2">
      <c r="A2260" s="18"/>
      <c r="B2260" s="19" t="s">
        <v>4550</v>
      </c>
      <c r="C2260" s="20" t="s">
        <v>4551</v>
      </c>
      <c r="D2260" s="2">
        <v>7</v>
      </c>
      <c r="E2260" s="21"/>
      <c r="F2260" s="2">
        <f t="shared" si="48"/>
        <v>0</v>
      </c>
      <c r="G2260" s="3" t="str">
        <f>HYPERLINK("http://tmmp-catalog.com.ua/katalog/17/18106/","фото")</f>
        <v>фото</v>
      </c>
      <c r="H2260" s="22"/>
    </row>
    <row r="2261" spans="1:8" ht="15" x14ac:dyDescent="0.2">
      <c r="A2261" s="18"/>
      <c r="B2261" s="19" t="s">
        <v>4552</v>
      </c>
      <c r="C2261" s="20" t="s">
        <v>4553</v>
      </c>
      <c r="D2261" s="2">
        <v>7</v>
      </c>
      <c r="E2261" s="21"/>
      <c r="F2261" s="2">
        <f t="shared" si="48"/>
        <v>0</v>
      </c>
      <c r="G2261" s="3" t="str">
        <f>HYPERLINK("http://tmmp-catalog.com.ua/katalog/17/18107/","фото")</f>
        <v>фото</v>
      </c>
      <c r="H2261" s="22"/>
    </row>
    <row r="2262" spans="1:8" ht="15" x14ac:dyDescent="0.2">
      <c r="A2262" s="18"/>
      <c r="B2262" s="19" t="s">
        <v>4554</v>
      </c>
      <c r="C2262" s="20" t="s">
        <v>4555</v>
      </c>
      <c r="D2262" s="2">
        <v>5.5</v>
      </c>
      <c r="E2262" s="21"/>
      <c r="F2262" s="2">
        <f t="shared" si="48"/>
        <v>0</v>
      </c>
      <c r="G2262" s="3" t="str">
        <f>HYPERLINK("http://tmmp-catalog.com.ua/katalog/17/18108/","фото")</f>
        <v>фото</v>
      </c>
      <c r="H2262" s="22"/>
    </row>
    <row r="2263" spans="1:8" ht="15" x14ac:dyDescent="0.2">
      <c r="A2263" s="18"/>
      <c r="B2263" s="19" t="s">
        <v>4556</v>
      </c>
      <c r="C2263" s="20" t="s">
        <v>4557</v>
      </c>
      <c r="D2263" s="2">
        <v>9</v>
      </c>
      <c r="E2263" s="21"/>
      <c r="F2263" s="2">
        <f t="shared" si="48"/>
        <v>0</v>
      </c>
      <c r="G2263" s="3" t="str">
        <f>HYPERLINK("http://tmmp-catalog.com.ua/katalog/17/18109/","фото")</f>
        <v>фото</v>
      </c>
      <c r="H2263" s="22"/>
    </row>
    <row r="2264" spans="1:8" ht="15" x14ac:dyDescent="0.2">
      <c r="A2264" s="18"/>
      <c r="B2264" s="19" t="s">
        <v>4558</v>
      </c>
      <c r="C2264" s="20" t="s">
        <v>4559</v>
      </c>
      <c r="D2264" s="2">
        <v>0.85</v>
      </c>
      <c r="E2264" s="21"/>
      <c r="F2264" s="2">
        <f t="shared" si="48"/>
        <v>0</v>
      </c>
      <c r="G2264" s="3" t="str">
        <f>HYPERLINK("http://tmmp-catalog.com.ua/katalog/17/18110/","фото")</f>
        <v>фото</v>
      </c>
      <c r="H2264" s="22"/>
    </row>
    <row r="2265" spans="1:8" ht="15" x14ac:dyDescent="0.2">
      <c r="A2265" s="18"/>
      <c r="B2265" s="19" t="s">
        <v>4560</v>
      </c>
      <c r="C2265" s="20" t="s">
        <v>4561</v>
      </c>
      <c r="D2265" s="2">
        <v>0.45</v>
      </c>
      <c r="E2265" s="21"/>
      <c r="F2265" s="2">
        <f t="shared" si="48"/>
        <v>0</v>
      </c>
      <c r="G2265" s="3" t="str">
        <f>HYPERLINK("http://tmmp-catalog.com.ua/katalog/17/18111/","фото")</f>
        <v>фото</v>
      </c>
      <c r="H2265" s="22"/>
    </row>
    <row r="2266" spans="1:8" ht="15" x14ac:dyDescent="0.2">
      <c r="A2266" s="18"/>
      <c r="B2266" s="19" t="s">
        <v>4562</v>
      </c>
      <c r="C2266" s="20" t="s">
        <v>4563</v>
      </c>
      <c r="D2266" s="2">
        <v>3</v>
      </c>
      <c r="E2266" s="21"/>
      <c r="F2266" s="2">
        <f t="shared" si="48"/>
        <v>0</v>
      </c>
      <c r="G2266" s="3" t="str">
        <f>HYPERLINK("http://tmmp-catalog.com.ua/katalog/17/18128/","фото")</f>
        <v>фото</v>
      </c>
      <c r="H2266" s="22"/>
    </row>
    <row r="2267" spans="1:8" ht="15" x14ac:dyDescent="0.2">
      <c r="A2267" s="18"/>
      <c r="B2267" s="19" t="s">
        <v>4564</v>
      </c>
      <c r="C2267" s="20" t="s">
        <v>4565</v>
      </c>
      <c r="D2267" s="2">
        <v>1.8</v>
      </c>
      <c r="E2267" s="21"/>
      <c r="F2267" s="2">
        <f t="shared" si="48"/>
        <v>0</v>
      </c>
      <c r="G2267" s="3" t="str">
        <f>HYPERLINK("http://tmmp-catalog.com.ua/katalog/17/18120/","фото")</f>
        <v>фото</v>
      </c>
      <c r="H2267" s="22"/>
    </row>
    <row r="2268" spans="1:8" ht="15" x14ac:dyDescent="0.2">
      <c r="A2268" s="18"/>
      <c r="B2268" s="19" t="s">
        <v>4566</v>
      </c>
      <c r="C2268" s="20" t="s">
        <v>4567</v>
      </c>
      <c r="D2268" s="2">
        <v>0.8</v>
      </c>
      <c r="E2268" s="21"/>
      <c r="F2268" s="2">
        <f t="shared" si="48"/>
        <v>0</v>
      </c>
      <c r="G2268" s="3" t="str">
        <f>HYPERLINK("http://tmmp-catalog.com.ua/katalog/17/18113/","фото")</f>
        <v>фото</v>
      </c>
      <c r="H2268" s="22"/>
    </row>
    <row r="2269" spans="1:8" ht="15" x14ac:dyDescent="0.2">
      <c r="A2269" s="18"/>
      <c r="B2269" s="19" t="s">
        <v>4568</v>
      </c>
      <c r="C2269" s="20" t="s">
        <v>4569</v>
      </c>
      <c r="D2269" s="2">
        <v>1</v>
      </c>
      <c r="E2269" s="21"/>
      <c r="F2269" s="2">
        <f t="shared" si="48"/>
        <v>0</v>
      </c>
      <c r="G2269" s="3" t="str">
        <f>HYPERLINK("http://tmmp-catalog.com.ua/katalog/17/18118/","фото")</f>
        <v>фото</v>
      </c>
      <c r="H2269" s="22"/>
    </row>
    <row r="2270" spans="1:8" ht="15" x14ac:dyDescent="0.2">
      <c r="A2270" s="18"/>
      <c r="B2270" s="19" t="s">
        <v>4570</v>
      </c>
      <c r="C2270" s="20" t="s">
        <v>4571</v>
      </c>
      <c r="D2270" s="2">
        <v>2.5</v>
      </c>
      <c r="E2270" s="21"/>
      <c r="F2270" s="2">
        <f t="shared" si="48"/>
        <v>0</v>
      </c>
      <c r="G2270" s="3" t="str">
        <f>HYPERLINK("http://tmmp-catalog.com.ua/katalog/17/18164/","фото")</f>
        <v>фото</v>
      </c>
      <c r="H2270" s="22"/>
    </row>
    <row r="2271" spans="1:8" ht="15" x14ac:dyDescent="0.2">
      <c r="A2271" s="18">
        <v>2000000011134</v>
      </c>
      <c r="B2271" s="19" t="s">
        <v>4572</v>
      </c>
      <c r="C2271" s="20" t="s">
        <v>4573</v>
      </c>
      <c r="D2271" s="2">
        <v>2.5</v>
      </c>
      <c r="E2271" s="21"/>
      <c r="F2271" s="2">
        <f t="shared" si="48"/>
        <v>0</v>
      </c>
      <c r="G2271" s="3" t="str">
        <f>HYPERLINK("http://tmmp-catalog.com.ua/katalog/17/14317/","фото")</f>
        <v>фото</v>
      </c>
      <c r="H2271" s="22"/>
    </row>
    <row r="2272" spans="1:8" ht="15" x14ac:dyDescent="0.2">
      <c r="A2272" s="18"/>
      <c r="B2272" s="19" t="s">
        <v>4574</v>
      </c>
      <c r="C2272" s="20" t="s">
        <v>4575</v>
      </c>
      <c r="D2272" s="2">
        <v>2.2000000000000002</v>
      </c>
      <c r="E2272" s="21"/>
      <c r="F2272" s="2">
        <f t="shared" si="48"/>
        <v>0</v>
      </c>
      <c r="G2272" s="3" t="str">
        <f>HYPERLINK("http://tmmp-catalog.com.ua/katalog/17/18119/","фото")</f>
        <v>фото</v>
      </c>
      <c r="H2272" s="22"/>
    </row>
    <row r="2273" spans="1:8" ht="15" x14ac:dyDescent="0.2">
      <c r="A2273" s="18">
        <v>2000000011141</v>
      </c>
      <c r="B2273" s="19" t="s">
        <v>4576</v>
      </c>
      <c r="C2273" s="20" t="s">
        <v>4577</v>
      </c>
      <c r="D2273" s="2">
        <v>1</v>
      </c>
      <c r="E2273" s="21"/>
      <c r="F2273" s="2">
        <f t="shared" si="48"/>
        <v>0</v>
      </c>
      <c r="G2273" s="3" t="str">
        <f>HYPERLINK("http://tmmp-catalog.com.ua/katalog/17/14318/","фото")</f>
        <v>фото</v>
      </c>
      <c r="H2273" s="22"/>
    </row>
    <row r="2274" spans="1:8" ht="15" x14ac:dyDescent="0.2">
      <c r="A2274" s="18"/>
      <c r="B2274" s="19" t="s">
        <v>4578</v>
      </c>
      <c r="C2274" s="20" t="s">
        <v>4579</v>
      </c>
      <c r="D2274" s="2">
        <v>13.5</v>
      </c>
      <c r="E2274" s="21"/>
      <c r="F2274" s="2">
        <f t="shared" si="48"/>
        <v>0</v>
      </c>
      <c r="G2274" s="3" t="str">
        <f>HYPERLINK("http://tmmp-catalog.com.ua/katalog/17/18121/","фото")</f>
        <v>фото</v>
      </c>
      <c r="H2274" s="22"/>
    </row>
    <row r="2275" spans="1:8" ht="15" x14ac:dyDescent="0.2">
      <c r="A2275" s="18"/>
      <c r="B2275" s="19" t="s">
        <v>4580</v>
      </c>
      <c r="C2275" s="20" t="s">
        <v>4581</v>
      </c>
      <c r="D2275" s="2">
        <v>0.7</v>
      </c>
      <c r="E2275" s="21"/>
      <c r="F2275" s="2">
        <f t="shared" si="48"/>
        <v>0</v>
      </c>
      <c r="G2275" s="3" t="str">
        <f>HYPERLINK("http://tmmp-catalog.com.ua/katalog/17/18122/","фото")</f>
        <v>фото</v>
      </c>
      <c r="H2275" s="22"/>
    </row>
    <row r="2276" spans="1:8" ht="15" x14ac:dyDescent="0.2">
      <c r="A2276" s="18"/>
      <c r="B2276" s="19" t="s">
        <v>4582</v>
      </c>
      <c r="C2276" s="20" t="s">
        <v>4583</v>
      </c>
      <c r="D2276" s="2">
        <v>3.5</v>
      </c>
      <c r="E2276" s="21"/>
      <c r="F2276" s="2">
        <f t="shared" si="48"/>
        <v>0</v>
      </c>
      <c r="G2276" s="3" t="str">
        <f>HYPERLINK("http://tmmp-catalog.com.ua/katalog/17/18124/","фото")</f>
        <v>фото</v>
      </c>
      <c r="H2276" s="22"/>
    </row>
    <row r="2277" spans="1:8" ht="15" x14ac:dyDescent="0.2">
      <c r="A2277" s="18">
        <v>2000000011158</v>
      </c>
      <c r="B2277" s="19" t="s">
        <v>4584</v>
      </c>
      <c r="C2277" s="20" t="s">
        <v>4585</v>
      </c>
      <c r="D2277" s="2">
        <v>5.5</v>
      </c>
      <c r="E2277" s="21"/>
      <c r="F2277" s="2">
        <f t="shared" si="48"/>
        <v>0</v>
      </c>
      <c r="G2277" s="3" t="str">
        <f>HYPERLINK("http://tmmp-catalog.com.ua/katalog/17/14319/","фото")</f>
        <v>фото</v>
      </c>
      <c r="H2277" s="22"/>
    </row>
    <row r="2278" spans="1:8" ht="15" x14ac:dyDescent="0.2">
      <c r="A2278" s="18"/>
      <c r="B2278" s="19" t="s">
        <v>4586</v>
      </c>
      <c r="C2278" s="20" t="s">
        <v>4587</v>
      </c>
      <c r="D2278" s="2">
        <v>2.2000000000000002</v>
      </c>
      <c r="E2278" s="21"/>
      <c r="F2278" s="2">
        <f t="shared" si="48"/>
        <v>0</v>
      </c>
      <c r="G2278" s="3" t="str">
        <f>HYPERLINK("http://tmmp-catalog.com.ua/katalog/17/18126/","фото")</f>
        <v>фото</v>
      </c>
      <c r="H2278" s="22"/>
    </row>
    <row r="2279" spans="1:8" ht="15" x14ac:dyDescent="0.2">
      <c r="A2279" s="18"/>
      <c r="B2279" s="19" t="s">
        <v>4588</v>
      </c>
      <c r="C2279" s="20" t="s">
        <v>4589</v>
      </c>
      <c r="D2279" s="2">
        <v>3</v>
      </c>
      <c r="E2279" s="21"/>
      <c r="F2279" s="2">
        <f t="shared" si="48"/>
        <v>0</v>
      </c>
      <c r="G2279" s="3" t="str">
        <f>HYPERLINK("http://tmmp-catalog.com.ua/katalog/17/18127/","фото")</f>
        <v>фото</v>
      </c>
      <c r="H2279" s="22"/>
    </row>
    <row r="2280" spans="1:8" ht="15" x14ac:dyDescent="0.2">
      <c r="A2280" s="18"/>
      <c r="B2280" s="19" t="s">
        <v>4590</v>
      </c>
      <c r="C2280" s="20" t="s">
        <v>4591</v>
      </c>
      <c r="D2280" s="2">
        <v>2.2000000000000002</v>
      </c>
      <c r="E2280" s="21"/>
      <c r="F2280" s="2">
        <f t="shared" si="48"/>
        <v>0</v>
      </c>
      <c r="G2280" s="3" t="str">
        <f>HYPERLINK("http://tmmp-catalog.com.ua/katalog/17/18112/","фото")</f>
        <v>фото</v>
      </c>
      <c r="H2280" s="22"/>
    </row>
    <row r="2281" spans="1:8" ht="15" x14ac:dyDescent="0.2">
      <c r="A2281" s="18"/>
      <c r="B2281" s="19" t="s">
        <v>4592</v>
      </c>
      <c r="C2281" s="20" t="s">
        <v>4593</v>
      </c>
      <c r="D2281" s="2">
        <v>11</v>
      </c>
      <c r="E2281" s="21"/>
      <c r="F2281" s="2">
        <f t="shared" si="48"/>
        <v>0</v>
      </c>
      <c r="G2281" s="3" t="str">
        <f>HYPERLINK("http://tmmp-catalog.com.ua/katalog/17/18129/","фото")</f>
        <v>фото</v>
      </c>
      <c r="H2281" s="22"/>
    </row>
    <row r="2282" spans="1:8" ht="15" x14ac:dyDescent="0.2">
      <c r="A2282" s="18"/>
      <c r="B2282" s="19" t="s">
        <v>4594</v>
      </c>
      <c r="C2282" s="20" t="s">
        <v>4595</v>
      </c>
      <c r="D2282" s="2">
        <v>27</v>
      </c>
      <c r="E2282" s="21"/>
      <c r="F2282" s="2">
        <f t="shared" si="48"/>
        <v>0</v>
      </c>
      <c r="G2282" s="3" t="str">
        <f>HYPERLINK("http://tmmp-catalog.com.ua/katalog/17/18159/","фото")</f>
        <v>фото</v>
      </c>
      <c r="H2282" s="22"/>
    </row>
    <row r="2283" spans="1:8" ht="15" x14ac:dyDescent="0.2">
      <c r="A2283" s="18">
        <v>2000000011165</v>
      </c>
      <c r="B2283" s="19" t="s">
        <v>4596</v>
      </c>
      <c r="C2283" s="20" t="s">
        <v>4597</v>
      </c>
      <c r="D2283" s="2">
        <v>7.8</v>
      </c>
      <c r="E2283" s="21"/>
      <c r="F2283" s="2">
        <f t="shared" si="48"/>
        <v>0</v>
      </c>
      <c r="G2283" s="3" t="str">
        <f>HYPERLINK("http://tmmp-catalog.com.ua/katalog/17/14320/","фото")</f>
        <v>фото</v>
      </c>
      <c r="H2283" s="22"/>
    </row>
    <row r="2284" spans="1:8" ht="15" x14ac:dyDescent="0.2">
      <c r="A2284" s="18"/>
      <c r="B2284" s="19" t="s">
        <v>4598</v>
      </c>
      <c r="C2284" s="20" t="s">
        <v>4599</v>
      </c>
      <c r="D2284" s="2">
        <v>3</v>
      </c>
      <c r="E2284" s="21"/>
      <c r="F2284" s="2">
        <f t="shared" si="48"/>
        <v>0</v>
      </c>
      <c r="G2284" s="3" t="str">
        <f>HYPERLINK("http://tmmp-catalog.com.ua/katalog/17/18130/","фото")</f>
        <v>фото</v>
      </c>
      <c r="H2284" s="22"/>
    </row>
    <row r="2285" spans="1:8" ht="15" x14ac:dyDescent="0.2">
      <c r="A2285" s="18"/>
      <c r="B2285" s="19" t="s">
        <v>4600</v>
      </c>
      <c r="C2285" s="20" t="s">
        <v>4601</v>
      </c>
      <c r="D2285" s="2">
        <v>0.6</v>
      </c>
      <c r="E2285" s="21"/>
      <c r="F2285" s="2">
        <f t="shared" si="48"/>
        <v>0</v>
      </c>
      <c r="G2285" s="3" t="str">
        <f>HYPERLINK("http://tmmp-catalog.com.ua/katalog/17/18131/","фото")</f>
        <v>фото</v>
      </c>
      <c r="H2285" s="22"/>
    </row>
    <row r="2286" spans="1:8" ht="15" x14ac:dyDescent="0.2">
      <c r="A2286" s="18"/>
      <c r="B2286" s="19" t="s">
        <v>4602</v>
      </c>
      <c r="C2286" s="20" t="s">
        <v>4603</v>
      </c>
      <c r="D2286" s="2">
        <v>1.3</v>
      </c>
      <c r="E2286" s="21"/>
      <c r="F2286" s="2">
        <f t="shared" si="48"/>
        <v>0</v>
      </c>
      <c r="G2286" s="3" t="str">
        <f>HYPERLINK("http://tmmp-catalog.com.ua/katalog/17/18132/","фото")</f>
        <v>фото</v>
      </c>
      <c r="H2286" s="22"/>
    </row>
    <row r="2287" spans="1:8" ht="15" x14ac:dyDescent="0.2">
      <c r="A2287" s="18"/>
      <c r="B2287" s="19" t="s">
        <v>4604</v>
      </c>
      <c r="C2287" s="20" t="s">
        <v>4605</v>
      </c>
      <c r="D2287" s="2">
        <v>0.5</v>
      </c>
      <c r="E2287" s="21"/>
      <c r="F2287" s="2">
        <f t="shared" si="48"/>
        <v>0</v>
      </c>
      <c r="G2287" s="3" t="str">
        <f>HYPERLINK("http://tmmp-catalog.com.ua/katalog/17/18160/","фото")</f>
        <v>фото</v>
      </c>
      <c r="H2287" s="22"/>
    </row>
    <row r="2288" spans="1:8" ht="15" x14ac:dyDescent="0.2">
      <c r="A2288" s="18">
        <v>2000000011189</v>
      </c>
      <c r="B2288" s="19" t="s">
        <v>4606</v>
      </c>
      <c r="C2288" s="20" t="s">
        <v>4607</v>
      </c>
      <c r="D2288" s="2">
        <v>0.35</v>
      </c>
      <c r="E2288" s="21"/>
      <c r="F2288" s="2">
        <f t="shared" si="48"/>
        <v>0</v>
      </c>
      <c r="G2288" s="3" t="str">
        <f>HYPERLINK("http://tmmp-catalog.com.ua/katalog/17/16554/","фото")</f>
        <v>фото</v>
      </c>
      <c r="H2288" s="22"/>
    </row>
    <row r="2289" spans="1:8" ht="23.25" x14ac:dyDescent="0.2">
      <c r="A2289" s="18"/>
      <c r="B2289" s="51"/>
      <c r="C2289" s="56" t="s">
        <v>11</v>
      </c>
      <c r="D2289" s="52"/>
      <c r="E2289" s="53"/>
      <c r="F2289" s="52"/>
      <c r="G2289" s="54"/>
      <c r="H2289" s="55"/>
    </row>
    <row r="2290" spans="1:8" ht="15" x14ac:dyDescent="0.2">
      <c r="A2290" s="18">
        <v>2000000036342</v>
      </c>
      <c r="B2290" s="19" t="s">
        <v>4608</v>
      </c>
      <c r="C2290" s="20" t="s">
        <v>4609</v>
      </c>
      <c r="D2290" s="2">
        <v>1.75</v>
      </c>
      <c r="E2290" s="21"/>
      <c r="F2290" s="2">
        <f t="shared" ref="F2290:F2326" si="49">cena*zakaz</f>
        <v>0</v>
      </c>
      <c r="G2290" s="3" t="str">
        <f>HYPERLINK("http://tmmp-catalog.com.ua/katalog/30/15442/","фото")</f>
        <v>фото</v>
      </c>
      <c r="H2290" s="22"/>
    </row>
    <row r="2291" spans="1:8" ht="15" x14ac:dyDescent="0.2">
      <c r="A2291" s="18">
        <v>2000000036366</v>
      </c>
      <c r="B2291" s="19" t="s">
        <v>4610</v>
      </c>
      <c r="C2291" s="20" t="s">
        <v>4611</v>
      </c>
      <c r="D2291" s="2">
        <v>0.5</v>
      </c>
      <c r="E2291" s="21"/>
      <c r="F2291" s="2">
        <f t="shared" si="49"/>
        <v>0</v>
      </c>
      <c r="G2291" s="3" t="str">
        <f>HYPERLINK("http://tmmp-catalog.com.ua/katalog/30/15444/","фото")</f>
        <v>фото</v>
      </c>
      <c r="H2291" s="22"/>
    </row>
    <row r="2292" spans="1:8" ht="15" x14ac:dyDescent="0.2">
      <c r="A2292" s="18">
        <v>2000000036373</v>
      </c>
      <c r="B2292" s="19" t="s">
        <v>4612</v>
      </c>
      <c r="C2292" s="20" t="s">
        <v>4613</v>
      </c>
      <c r="D2292" s="2">
        <v>0.5</v>
      </c>
      <c r="E2292" s="21"/>
      <c r="F2292" s="2">
        <f t="shared" si="49"/>
        <v>0</v>
      </c>
      <c r="G2292" s="3" t="str">
        <f>HYPERLINK("http://tmmp-catalog.com.ua/katalog/30/15445/","фото")</f>
        <v>фото</v>
      </c>
      <c r="H2292" s="22"/>
    </row>
    <row r="2293" spans="1:8" ht="15" x14ac:dyDescent="0.2">
      <c r="A2293" s="18">
        <v>2000000036380</v>
      </c>
      <c r="B2293" s="19" t="s">
        <v>4614</v>
      </c>
      <c r="C2293" s="20" t="s">
        <v>4615</v>
      </c>
      <c r="D2293" s="2">
        <v>2</v>
      </c>
      <c r="E2293" s="21"/>
      <c r="F2293" s="2">
        <f t="shared" si="49"/>
        <v>0</v>
      </c>
      <c r="G2293" s="3" t="str">
        <f>HYPERLINK("http://tmmp-catalog.com.ua/katalog/30/15446/","фото")</f>
        <v>фото</v>
      </c>
      <c r="H2293" s="22"/>
    </row>
    <row r="2294" spans="1:8" ht="15" x14ac:dyDescent="0.2">
      <c r="A2294" s="18">
        <v>2000000036397</v>
      </c>
      <c r="B2294" s="19" t="s">
        <v>4616</v>
      </c>
      <c r="C2294" s="20" t="s">
        <v>4617</v>
      </c>
      <c r="D2294" s="2">
        <v>2.5</v>
      </c>
      <c r="E2294" s="21"/>
      <c r="F2294" s="2">
        <f t="shared" si="49"/>
        <v>0</v>
      </c>
      <c r="G2294" s="3" t="str">
        <f>HYPERLINK("http://tmmp-catalog.com.ua/katalog/30/15447/","фото")</f>
        <v>фото</v>
      </c>
      <c r="H2294" s="22"/>
    </row>
    <row r="2295" spans="1:8" ht="15" x14ac:dyDescent="0.2">
      <c r="A2295" s="18">
        <v>2000000036403</v>
      </c>
      <c r="B2295" s="19" t="s">
        <v>4618</v>
      </c>
      <c r="C2295" s="20" t="s">
        <v>4619</v>
      </c>
      <c r="D2295" s="2">
        <v>0.4</v>
      </c>
      <c r="E2295" s="21"/>
      <c r="F2295" s="2">
        <f t="shared" si="49"/>
        <v>0</v>
      </c>
      <c r="G2295" s="3" t="str">
        <f>HYPERLINK("http://tmmp-catalog.com.ua/katalog/30/15448/","фото")</f>
        <v>фото</v>
      </c>
      <c r="H2295" s="22"/>
    </row>
    <row r="2296" spans="1:8" ht="15" x14ac:dyDescent="0.2">
      <c r="A2296" s="18">
        <v>2000000036410</v>
      </c>
      <c r="B2296" s="19" t="s">
        <v>4620</v>
      </c>
      <c r="C2296" s="20" t="s">
        <v>4621</v>
      </c>
      <c r="D2296" s="2">
        <v>0.5</v>
      </c>
      <c r="E2296" s="21"/>
      <c r="F2296" s="2">
        <f t="shared" si="49"/>
        <v>0</v>
      </c>
      <c r="G2296" s="3" t="str">
        <f>HYPERLINK("http://tmmp-catalog.com.ua/katalog/30/15449/","фото")</f>
        <v>фото</v>
      </c>
      <c r="H2296" s="22"/>
    </row>
    <row r="2297" spans="1:8" ht="15" x14ac:dyDescent="0.2">
      <c r="A2297" s="18">
        <v>2000000036441</v>
      </c>
      <c r="B2297" s="19" t="s">
        <v>4622</v>
      </c>
      <c r="C2297" s="20" t="s">
        <v>4623</v>
      </c>
      <c r="D2297" s="2">
        <v>0.6</v>
      </c>
      <c r="E2297" s="21"/>
      <c r="F2297" s="2">
        <f t="shared" si="49"/>
        <v>0</v>
      </c>
      <c r="G2297" s="3" t="str">
        <f>HYPERLINK("http://tmmp-catalog.com.ua/katalog/30/15452/","фото")</f>
        <v>фото</v>
      </c>
      <c r="H2297" s="22"/>
    </row>
    <row r="2298" spans="1:8" ht="15" x14ac:dyDescent="0.2">
      <c r="A2298" s="18">
        <v>2000000036458</v>
      </c>
      <c r="B2298" s="19" t="s">
        <v>4624</v>
      </c>
      <c r="C2298" s="20" t="s">
        <v>4625</v>
      </c>
      <c r="D2298" s="2">
        <v>0.7</v>
      </c>
      <c r="E2298" s="21"/>
      <c r="F2298" s="2">
        <f t="shared" si="49"/>
        <v>0</v>
      </c>
      <c r="G2298" s="3" t="str">
        <f>HYPERLINK("http://tmmp-catalog.com.ua/katalog/30/15453/","фото")</f>
        <v>фото</v>
      </c>
      <c r="H2298" s="22"/>
    </row>
    <row r="2299" spans="1:8" ht="15" x14ac:dyDescent="0.2">
      <c r="A2299" s="18"/>
      <c r="B2299" s="19" t="s">
        <v>4626</v>
      </c>
      <c r="C2299" s="20" t="s">
        <v>4627</v>
      </c>
      <c r="D2299" s="2">
        <v>0.75</v>
      </c>
      <c r="E2299" s="21"/>
      <c r="F2299" s="2">
        <f t="shared" si="49"/>
        <v>0</v>
      </c>
      <c r="G2299" s="3" t="str">
        <f>HYPERLINK("http://tmmp-catalog.com.ua/katalog/37/18373/","фото")</f>
        <v>фото</v>
      </c>
      <c r="H2299" s="22"/>
    </row>
    <row r="2300" spans="1:8" ht="15" x14ac:dyDescent="0.2">
      <c r="A2300" s="18">
        <v>2000000036496</v>
      </c>
      <c r="B2300" s="19" t="s">
        <v>4628</v>
      </c>
      <c r="C2300" s="20" t="s">
        <v>4629</v>
      </c>
      <c r="D2300" s="2">
        <v>0.85</v>
      </c>
      <c r="E2300" s="21"/>
      <c r="F2300" s="2">
        <f t="shared" si="49"/>
        <v>0</v>
      </c>
      <c r="G2300" s="3" t="str">
        <f>HYPERLINK("http://tmmp-catalog.com.ua/katalog/30/15457/","фото")</f>
        <v>фото</v>
      </c>
      <c r="H2300" s="22"/>
    </row>
    <row r="2301" spans="1:8" ht="15" x14ac:dyDescent="0.2">
      <c r="A2301" s="18">
        <v>2000000036526</v>
      </c>
      <c r="B2301" s="19" t="s">
        <v>4630</v>
      </c>
      <c r="C2301" s="20" t="s">
        <v>4631</v>
      </c>
      <c r="D2301" s="2">
        <v>0.85</v>
      </c>
      <c r="E2301" s="21"/>
      <c r="F2301" s="2">
        <f t="shared" si="49"/>
        <v>0</v>
      </c>
      <c r="G2301" s="3" t="str">
        <f>HYPERLINK("http://tmmp-catalog.com.ua/katalog/30/15460/","фото")</f>
        <v>фото</v>
      </c>
      <c r="H2301" s="22"/>
    </row>
    <row r="2302" spans="1:8" ht="15" x14ac:dyDescent="0.2">
      <c r="A2302" s="18"/>
      <c r="B2302" s="19" t="s">
        <v>4632</v>
      </c>
      <c r="C2302" s="20" t="s">
        <v>4633</v>
      </c>
      <c r="D2302" s="2">
        <v>0.95</v>
      </c>
      <c r="E2302" s="21"/>
      <c r="F2302" s="2">
        <f t="shared" si="49"/>
        <v>0</v>
      </c>
      <c r="G2302" s="3" t="str">
        <f>HYPERLINK("http://tmmp-catalog.com.ua/katalog/30/17455/","фото")</f>
        <v>фото</v>
      </c>
      <c r="H2302" s="22"/>
    </row>
    <row r="2303" spans="1:8" ht="15" x14ac:dyDescent="0.2">
      <c r="A2303" s="18">
        <v>2000000036533</v>
      </c>
      <c r="B2303" s="19" t="s">
        <v>4634</v>
      </c>
      <c r="C2303" s="20" t="s">
        <v>4635</v>
      </c>
      <c r="D2303" s="2">
        <v>0.95</v>
      </c>
      <c r="E2303" s="21"/>
      <c r="F2303" s="2">
        <f t="shared" si="49"/>
        <v>0</v>
      </c>
      <c r="G2303" s="3" t="str">
        <f>HYPERLINK("http://tmmp-catalog.com.ua/katalog/30/15461/","фото")</f>
        <v>фото</v>
      </c>
      <c r="H2303" s="22"/>
    </row>
    <row r="2304" spans="1:8" ht="15" x14ac:dyDescent="0.2">
      <c r="A2304" s="18"/>
      <c r="B2304" s="19" t="s">
        <v>4636</v>
      </c>
      <c r="C2304" s="20" t="s">
        <v>4637</v>
      </c>
      <c r="D2304" s="2">
        <v>0.95</v>
      </c>
      <c r="E2304" s="21"/>
      <c r="F2304" s="2">
        <f t="shared" si="49"/>
        <v>0</v>
      </c>
      <c r="G2304" s="3" t="str">
        <f>HYPERLINK("http://tmmp-catalog.com.ua/katalog/30/17461/","фото")</f>
        <v>фото</v>
      </c>
      <c r="H2304" s="22"/>
    </row>
    <row r="2305" spans="1:8" ht="15" x14ac:dyDescent="0.2">
      <c r="A2305" s="18"/>
      <c r="B2305" s="19" t="s">
        <v>4638</v>
      </c>
      <c r="C2305" s="20" t="s">
        <v>4639</v>
      </c>
      <c r="D2305" s="2">
        <v>1.1000000000000001</v>
      </c>
      <c r="E2305" s="21"/>
      <c r="F2305" s="2">
        <f t="shared" si="49"/>
        <v>0</v>
      </c>
      <c r="G2305" s="3" t="str">
        <f>HYPERLINK("http://tmmp-catalog.com.ua/katalog/30/17463/","фото")</f>
        <v>фото</v>
      </c>
      <c r="H2305" s="22"/>
    </row>
    <row r="2306" spans="1:8" ht="15" x14ac:dyDescent="0.2">
      <c r="A2306" s="18"/>
      <c r="B2306" s="19" t="s">
        <v>4640</v>
      </c>
      <c r="C2306" s="20" t="s">
        <v>4641</v>
      </c>
      <c r="D2306" s="2">
        <v>1</v>
      </c>
      <c r="E2306" s="21"/>
      <c r="F2306" s="2">
        <f t="shared" si="49"/>
        <v>0</v>
      </c>
      <c r="G2306" s="3" t="str">
        <f>HYPERLINK("http://tmmp-catalog.com.ua/katalog/30/17467/","фото")</f>
        <v>фото</v>
      </c>
      <c r="H2306" s="22"/>
    </row>
    <row r="2307" spans="1:8" ht="15" x14ac:dyDescent="0.2">
      <c r="A2307" s="18"/>
      <c r="B2307" s="19" t="s">
        <v>4642</v>
      </c>
      <c r="C2307" s="20" t="s">
        <v>4643</v>
      </c>
      <c r="D2307" s="2">
        <v>1</v>
      </c>
      <c r="E2307" s="21"/>
      <c r="F2307" s="2">
        <f t="shared" si="49"/>
        <v>0</v>
      </c>
      <c r="G2307" s="3" t="str">
        <f>HYPERLINK("http://tmmp-catalog.com.ua/katalog/30/17469/","фото")</f>
        <v>фото</v>
      </c>
      <c r="H2307" s="22"/>
    </row>
    <row r="2308" spans="1:8" ht="15" x14ac:dyDescent="0.2">
      <c r="A2308" s="18"/>
      <c r="B2308" s="19" t="s">
        <v>4644</v>
      </c>
      <c r="C2308" s="20" t="s">
        <v>4645</v>
      </c>
      <c r="D2308" s="2">
        <v>1.2</v>
      </c>
      <c r="E2308" s="21"/>
      <c r="F2308" s="2">
        <f t="shared" si="49"/>
        <v>0</v>
      </c>
      <c r="G2308" s="3" t="str">
        <f>HYPERLINK("http://tmmp-catalog.com.ua/katalog/37/18375/","фото")</f>
        <v>фото</v>
      </c>
      <c r="H2308" s="22"/>
    </row>
    <row r="2309" spans="1:8" ht="15" x14ac:dyDescent="0.2">
      <c r="A2309" s="18"/>
      <c r="B2309" s="19" t="s">
        <v>4646</v>
      </c>
      <c r="C2309" s="20" t="s">
        <v>4647</v>
      </c>
      <c r="D2309" s="2">
        <v>1.45</v>
      </c>
      <c r="E2309" s="21"/>
      <c r="F2309" s="2">
        <f t="shared" si="49"/>
        <v>0</v>
      </c>
      <c r="G2309" s="3" t="str">
        <f>HYPERLINK("http://tmmp-catalog.com.ua/katalog/37/18376/","фото")</f>
        <v>фото</v>
      </c>
      <c r="H2309" s="22"/>
    </row>
    <row r="2310" spans="1:8" ht="15" x14ac:dyDescent="0.2">
      <c r="A2310" s="18">
        <v>2000000036670</v>
      </c>
      <c r="B2310" s="19" t="s">
        <v>4648</v>
      </c>
      <c r="C2310" s="20" t="s">
        <v>4649</v>
      </c>
      <c r="D2310" s="2">
        <v>1.9</v>
      </c>
      <c r="E2310" s="21"/>
      <c r="F2310" s="2">
        <f t="shared" si="49"/>
        <v>0</v>
      </c>
      <c r="G2310" s="3" t="str">
        <f>HYPERLINK("http://tmmp-catalog.com.ua/katalog/30/15464/","фото")</f>
        <v>фото</v>
      </c>
      <c r="H2310" s="22"/>
    </row>
    <row r="2311" spans="1:8" ht="15" x14ac:dyDescent="0.2">
      <c r="A2311" s="18">
        <v>2000000036663</v>
      </c>
      <c r="B2311" s="19" t="s">
        <v>4650</v>
      </c>
      <c r="C2311" s="20" t="s">
        <v>4651</v>
      </c>
      <c r="D2311" s="2">
        <v>1.9</v>
      </c>
      <c r="E2311" s="21"/>
      <c r="F2311" s="2">
        <f t="shared" si="49"/>
        <v>0</v>
      </c>
      <c r="G2311" s="3" t="str">
        <f>HYPERLINK("http://tmmp-catalog.com.ua/katalog/30/15462/","фото")</f>
        <v>фото</v>
      </c>
      <c r="H2311" s="22"/>
    </row>
    <row r="2312" spans="1:8" ht="15" x14ac:dyDescent="0.2">
      <c r="A2312" s="18"/>
      <c r="B2312" s="19" t="s">
        <v>4652</v>
      </c>
      <c r="C2312" s="20" t="s">
        <v>4653</v>
      </c>
      <c r="D2312" s="2">
        <v>1.85</v>
      </c>
      <c r="E2312" s="21"/>
      <c r="F2312" s="2">
        <f t="shared" si="49"/>
        <v>0</v>
      </c>
      <c r="G2312" s="3" t="str">
        <f>HYPERLINK("http://tmmp-catalog.com.ua/katalog/30/18818/","фото")</f>
        <v>фото</v>
      </c>
      <c r="H2312" s="22"/>
    </row>
    <row r="2313" spans="1:8" ht="15" x14ac:dyDescent="0.2">
      <c r="A2313" s="18"/>
      <c r="B2313" s="19" t="s">
        <v>4654</v>
      </c>
      <c r="C2313" s="20" t="s">
        <v>4655</v>
      </c>
      <c r="D2313" s="2">
        <v>2.4</v>
      </c>
      <c r="E2313" s="21"/>
      <c r="F2313" s="2">
        <f t="shared" si="49"/>
        <v>0</v>
      </c>
      <c r="G2313" s="3" t="str">
        <f>HYPERLINK("http://tmmp-catalog.com.ua/katalog/30/18819/","фото")</f>
        <v>фото</v>
      </c>
      <c r="H2313" s="22"/>
    </row>
    <row r="2314" spans="1:8" ht="15" x14ac:dyDescent="0.2">
      <c r="A2314" s="18">
        <v>2000000036694</v>
      </c>
      <c r="B2314" s="19" t="s">
        <v>4656</v>
      </c>
      <c r="C2314" s="20" t="s">
        <v>4657</v>
      </c>
      <c r="D2314" s="2">
        <v>2.4</v>
      </c>
      <c r="E2314" s="21"/>
      <c r="F2314" s="2">
        <f t="shared" si="49"/>
        <v>0</v>
      </c>
      <c r="G2314" s="3" t="str">
        <f>HYPERLINK("http://tmmp-catalog.com.ua/katalog/30/15466/","фото")</f>
        <v>фото</v>
      </c>
      <c r="H2314" s="22"/>
    </row>
    <row r="2315" spans="1:8" ht="15" x14ac:dyDescent="0.2">
      <c r="A2315" s="18">
        <v>2000000036700</v>
      </c>
      <c r="B2315" s="19" t="s">
        <v>4658</v>
      </c>
      <c r="C2315" s="20" t="s">
        <v>4659</v>
      </c>
      <c r="D2315" s="2">
        <v>2.5</v>
      </c>
      <c r="E2315" s="21"/>
      <c r="F2315" s="2">
        <f t="shared" si="49"/>
        <v>0</v>
      </c>
      <c r="G2315" s="3" t="str">
        <f>HYPERLINK("http://tmmp-catalog.com.ua/katalog/30/15467/","фото")</f>
        <v>фото</v>
      </c>
      <c r="H2315" s="22"/>
    </row>
    <row r="2316" spans="1:8" ht="15" x14ac:dyDescent="0.2">
      <c r="A2316" s="18">
        <v>2000000036724</v>
      </c>
      <c r="B2316" s="19" t="s">
        <v>4660</v>
      </c>
      <c r="C2316" s="20" t="s">
        <v>4661</v>
      </c>
      <c r="D2316" s="2">
        <v>3.2</v>
      </c>
      <c r="E2316" s="21"/>
      <c r="F2316" s="2">
        <f t="shared" si="49"/>
        <v>0</v>
      </c>
      <c r="G2316" s="3" t="str">
        <f>HYPERLINK("http://tmmp-catalog.com.ua/katalog/30/15469/","фото")</f>
        <v>фото</v>
      </c>
      <c r="H2316" s="22"/>
    </row>
    <row r="2317" spans="1:8" ht="15" x14ac:dyDescent="0.2">
      <c r="A2317" s="18"/>
      <c r="B2317" s="19" t="s">
        <v>4662</v>
      </c>
      <c r="C2317" s="20" t="s">
        <v>4663</v>
      </c>
      <c r="D2317" s="2">
        <v>2.4</v>
      </c>
      <c r="E2317" s="21"/>
      <c r="F2317" s="2">
        <f t="shared" si="49"/>
        <v>0</v>
      </c>
      <c r="G2317" s="3" t="str">
        <f>HYPERLINK("http://tmmp-catalog.com.ua/katalog/30/18141/","фото")</f>
        <v>фото</v>
      </c>
      <c r="H2317" s="22"/>
    </row>
    <row r="2318" spans="1:8" ht="15" x14ac:dyDescent="0.2">
      <c r="A2318" s="18"/>
      <c r="B2318" s="19" t="s">
        <v>4664</v>
      </c>
      <c r="C2318" s="20" t="s">
        <v>4665</v>
      </c>
      <c r="D2318" s="2">
        <v>2</v>
      </c>
      <c r="E2318" s="21"/>
      <c r="F2318" s="2">
        <f t="shared" si="49"/>
        <v>0</v>
      </c>
      <c r="G2318" s="3" t="str">
        <f>HYPERLINK("http://tmmp-catalog.com.ua/katalog/29/17425/","фото")</f>
        <v>фото</v>
      </c>
      <c r="H2318" s="22"/>
    </row>
    <row r="2319" spans="1:8" ht="15" x14ac:dyDescent="0.2">
      <c r="A2319" s="18">
        <v>2000000036007</v>
      </c>
      <c r="B2319" s="19" t="s">
        <v>4666</v>
      </c>
      <c r="C2319" s="20" t="s">
        <v>4667</v>
      </c>
      <c r="D2319" s="2">
        <v>1.1000000000000001</v>
      </c>
      <c r="E2319" s="21"/>
      <c r="F2319" s="2">
        <f t="shared" si="49"/>
        <v>0</v>
      </c>
      <c r="G2319" s="3" t="str">
        <f>HYPERLINK("http://tmmp-catalog.com.ua/katalog/30/15471/","фото")</f>
        <v>фото</v>
      </c>
      <c r="H2319" s="22"/>
    </row>
    <row r="2320" spans="1:8" ht="15" x14ac:dyDescent="0.2">
      <c r="A2320" s="18">
        <v>2000000036021</v>
      </c>
      <c r="B2320" s="19" t="s">
        <v>4668</v>
      </c>
      <c r="C2320" s="20" t="s">
        <v>4669</v>
      </c>
      <c r="D2320" s="2">
        <v>1.6</v>
      </c>
      <c r="E2320" s="21"/>
      <c r="F2320" s="2">
        <f t="shared" si="49"/>
        <v>0</v>
      </c>
      <c r="G2320" s="3" t="str">
        <f>HYPERLINK("http://tmmp-catalog.com.ua/katalog/30/15473/","фото")</f>
        <v>фото</v>
      </c>
      <c r="H2320" s="22"/>
    </row>
    <row r="2321" spans="1:8" ht="15" x14ac:dyDescent="0.2">
      <c r="A2321" s="18">
        <v>2000000036014</v>
      </c>
      <c r="B2321" s="19" t="s">
        <v>4670</v>
      </c>
      <c r="C2321" s="20" t="s">
        <v>4671</v>
      </c>
      <c r="D2321" s="2">
        <v>1.1000000000000001</v>
      </c>
      <c r="E2321" s="21"/>
      <c r="F2321" s="2">
        <f t="shared" si="49"/>
        <v>0</v>
      </c>
      <c r="G2321" s="3" t="str">
        <f>HYPERLINK("http://tmmp-catalog.com.ua/katalog/30/15472/","фото")</f>
        <v>фото</v>
      </c>
      <c r="H2321" s="22"/>
    </row>
    <row r="2322" spans="1:8" ht="15" x14ac:dyDescent="0.2">
      <c r="A2322" s="18"/>
      <c r="B2322" s="19" t="s">
        <v>4672</v>
      </c>
      <c r="C2322" s="20" t="s">
        <v>4673</v>
      </c>
      <c r="D2322" s="2">
        <v>1.75</v>
      </c>
      <c r="E2322" s="21"/>
      <c r="F2322" s="2">
        <f t="shared" si="49"/>
        <v>0</v>
      </c>
      <c r="G2322" s="3" t="str">
        <f>HYPERLINK("http://tmmp-catalog.com.ua/katalog/29/18147/","фото")</f>
        <v>фото</v>
      </c>
      <c r="H2322" s="22"/>
    </row>
    <row r="2323" spans="1:8" ht="30" x14ac:dyDescent="0.2">
      <c r="A2323" s="18"/>
      <c r="B2323" s="19" t="s">
        <v>4674</v>
      </c>
      <c r="C2323" s="20" t="s">
        <v>4675</v>
      </c>
      <c r="D2323" s="2">
        <v>3.1</v>
      </c>
      <c r="E2323" s="21"/>
      <c r="F2323" s="2">
        <f t="shared" si="49"/>
        <v>0</v>
      </c>
      <c r="G2323" s="3" t="str">
        <f>HYPERLINK("http://tmmp-catalog.com.ua/katalog/29/18148/","фото")</f>
        <v>фото</v>
      </c>
      <c r="H2323" s="22"/>
    </row>
    <row r="2324" spans="1:8" ht="15" x14ac:dyDescent="0.2">
      <c r="A2324" s="18"/>
      <c r="B2324" s="19" t="s">
        <v>4676</v>
      </c>
      <c r="C2324" s="20" t="s">
        <v>4677</v>
      </c>
      <c r="D2324" s="2">
        <v>2.2999999999999998</v>
      </c>
      <c r="E2324" s="21"/>
      <c r="F2324" s="2">
        <f t="shared" si="49"/>
        <v>0</v>
      </c>
      <c r="G2324" s="3" t="str">
        <f>HYPERLINK("http://tmmp-catalog.com.ua/katalog/30/18646/","фото")</f>
        <v>фото</v>
      </c>
      <c r="H2324" s="22"/>
    </row>
    <row r="2325" spans="1:8" ht="15" x14ac:dyDescent="0.2">
      <c r="A2325" s="18">
        <v>2000000036038</v>
      </c>
      <c r="B2325" s="19" t="s">
        <v>4678</v>
      </c>
      <c r="C2325" s="20" t="s">
        <v>4679</v>
      </c>
      <c r="D2325" s="2">
        <v>2.2000000000000002</v>
      </c>
      <c r="E2325" s="21"/>
      <c r="F2325" s="2">
        <f t="shared" si="49"/>
        <v>0</v>
      </c>
      <c r="G2325" s="3" t="str">
        <f>HYPERLINK("http://tmmp-catalog.com.ua/katalog/30/15474/","фото")</f>
        <v>фото</v>
      </c>
      <c r="H2325" s="22"/>
    </row>
    <row r="2326" spans="1:8" ht="15" x14ac:dyDescent="0.2">
      <c r="A2326" s="18">
        <v>2000000036045</v>
      </c>
      <c r="B2326" s="19" t="s">
        <v>4680</v>
      </c>
      <c r="C2326" s="20" t="s">
        <v>4681</v>
      </c>
      <c r="D2326" s="2">
        <v>1.3</v>
      </c>
      <c r="E2326" s="21"/>
      <c r="F2326" s="2">
        <f t="shared" si="49"/>
        <v>0</v>
      </c>
      <c r="G2326" s="3" t="str">
        <f>HYPERLINK("http://tmmp-catalog.com.ua/katalog/30/15475/","фото")</f>
        <v>фото</v>
      </c>
      <c r="H2326" s="22"/>
    </row>
    <row r="2327" spans="1:8" ht="23.25" x14ac:dyDescent="0.2">
      <c r="A2327" s="18"/>
      <c r="B2327" s="51"/>
      <c r="C2327" s="56" t="s">
        <v>13</v>
      </c>
      <c r="D2327" s="52"/>
      <c r="E2327" s="53"/>
      <c r="F2327" s="52"/>
      <c r="G2327" s="54"/>
      <c r="H2327" s="55"/>
    </row>
    <row r="2328" spans="1:8" ht="15" x14ac:dyDescent="0.2">
      <c r="A2328" s="18">
        <v>2000000035970</v>
      </c>
      <c r="B2328" s="19" t="s">
        <v>4682</v>
      </c>
      <c r="C2328" s="20" t="s">
        <v>4683</v>
      </c>
      <c r="D2328" s="2">
        <v>1.8</v>
      </c>
      <c r="E2328" s="21"/>
      <c r="F2328" s="2">
        <f t="shared" ref="F2328:F2335" si="50">cena*zakaz</f>
        <v>0</v>
      </c>
      <c r="G2328" s="3" t="str">
        <f>HYPERLINK("http://tmmp-catalog.com.ua/katalog/29/15334/","фото")</f>
        <v>фото</v>
      </c>
      <c r="H2328" s="22"/>
    </row>
    <row r="2329" spans="1:8" ht="15" x14ac:dyDescent="0.2">
      <c r="A2329" s="18">
        <v>2000000035956</v>
      </c>
      <c r="B2329" s="19" t="s">
        <v>4684</v>
      </c>
      <c r="C2329" s="20" t="s">
        <v>4685</v>
      </c>
      <c r="D2329" s="2">
        <v>2.2999999999999998</v>
      </c>
      <c r="E2329" s="21"/>
      <c r="F2329" s="2">
        <f t="shared" si="50"/>
        <v>0</v>
      </c>
      <c r="G2329" s="3" t="str">
        <f>HYPERLINK("http://tmmp-catalog.com.ua/katalog/29/15335/","фото")</f>
        <v>фото</v>
      </c>
      <c r="H2329" s="22"/>
    </row>
    <row r="2330" spans="1:8" ht="15" x14ac:dyDescent="0.2">
      <c r="A2330" s="18"/>
      <c r="B2330" s="19" t="s">
        <v>4686</v>
      </c>
      <c r="C2330" s="20" t="s">
        <v>4687</v>
      </c>
      <c r="D2330" s="2">
        <v>2.2000000000000002</v>
      </c>
      <c r="E2330" s="21"/>
      <c r="F2330" s="2">
        <f t="shared" si="50"/>
        <v>0</v>
      </c>
      <c r="G2330" s="3" t="str">
        <f>HYPERLINK("http://tmmp-catalog.com.ua/katalog/29/17424/","фото")</f>
        <v>фото</v>
      </c>
      <c r="H2330" s="22"/>
    </row>
    <row r="2331" spans="1:8" ht="15" x14ac:dyDescent="0.2">
      <c r="A2331" s="18">
        <v>2000000036557</v>
      </c>
      <c r="B2331" s="19" t="s">
        <v>4688</v>
      </c>
      <c r="C2331" s="20" t="s">
        <v>4689</v>
      </c>
      <c r="D2331" s="2">
        <v>2.9</v>
      </c>
      <c r="E2331" s="21"/>
      <c r="F2331" s="2">
        <f t="shared" si="50"/>
        <v>0</v>
      </c>
      <c r="G2331" s="3" t="str">
        <f>HYPERLINK("http://tmmp-catalog.com.ua/katalog/29/15355/","фото")</f>
        <v>фото</v>
      </c>
      <c r="H2331" s="22"/>
    </row>
    <row r="2332" spans="1:8" ht="15" x14ac:dyDescent="0.2">
      <c r="A2332" s="18"/>
      <c r="B2332" s="19" t="s">
        <v>4690</v>
      </c>
      <c r="C2332" s="20" t="s">
        <v>4691</v>
      </c>
      <c r="D2332" s="2">
        <v>0.6</v>
      </c>
      <c r="E2332" s="21"/>
      <c r="F2332" s="2">
        <f t="shared" si="50"/>
        <v>0</v>
      </c>
      <c r="G2332" s="3" t="str">
        <f>HYPERLINK("http://tmmp-catalog.com.ua/katalog/29/18155/","фото")</f>
        <v>фото</v>
      </c>
      <c r="H2332" s="22"/>
    </row>
    <row r="2333" spans="1:8" ht="15" x14ac:dyDescent="0.2">
      <c r="A2333" s="18">
        <v>2000000037257</v>
      </c>
      <c r="B2333" s="19" t="s">
        <v>4692</v>
      </c>
      <c r="C2333" s="20" t="s">
        <v>4693</v>
      </c>
      <c r="D2333" s="2">
        <v>3.4</v>
      </c>
      <c r="E2333" s="21"/>
      <c r="F2333" s="2">
        <f t="shared" si="50"/>
        <v>0</v>
      </c>
      <c r="G2333" s="3" t="str">
        <f>HYPERLINK("http://tmmp-catalog.com.ua/katalog/29/15398/","фото")</f>
        <v>фото</v>
      </c>
      <c r="H2333" s="22"/>
    </row>
    <row r="2334" spans="1:8" ht="15" x14ac:dyDescent="0.2">
      <c r="A2334" s="18">
        <v>2000000036540</v>
      </c>
      <c r="B2334" s="19" t="s">
        <v>4694</v>
      </c>
      <c r="C2334" s="20" t="s">
        <v>4695</v>
      </c>
      <c r="D2334" s="2">
        <v>0.6</v>
      </c>
      <c r="E2334" s="21"/>
      <c r="F2334" s="2">
        <f t="shared" si="50"/>
        <v>0</v>
      </c>
      <c r="G2334" s="3" t="str">
        <f>HYPERLINK("http://tmmp-catalog.com.ua/katalog/29/15353/","фото")</f>
        <v>фото</v>
      </c>
      <c r="H2334" s="22"/>
    </row>
    <row r="2335" spans="1:8" ht="15" x14ac:dyDescent="0.2">
      <c r="A2335" s="18">
        <v>2000000037264</v>
      </c>
      <c r="B2335" s="19" t="s">
        <v>4696</v>
      </c>
      <c r="C2335" s="20" t="s">
        <v>4697</v>
      </c>
      <c r="D2335" s="2">
        <v>6</v>
      </c>
      <c r="E2335" s="21"/>
      <c r="F2335" s="2">
        <f t="shared" si="50"/>
        <v>0</v>
      </c>
      <c r="G2335" s="3" t="str">
        <f>HYPERLINK("http://tmmp-catalog.com.ua/katalog/29/15399/","фото")</f>
        <v>фото</v>
      </c>
      <c r="H2335" s="22"/>
    </row>
    <row r="2336" spans="1:8" ht="23.25" x14ac:dyDescent="0.2">
      <c r="A2336" s="18"/>
      <c r="B2336" s="51"/>
      <c r="C2336" s="56" t="s">
        <v>9</v>
      </c>
      <c r="D2336" s="52"/>
      <c r="E2336" s="53"/>
      <c r="F2336" s="52"/>
      <c r="G2336" s="54"/>
      <c r="H2336" s="55"/>
    </row>
    <row r="2337" spans="1:8" ht="15" x14ac:dyDescent="0.2">
      <c r="A2337" s="18"/>
      <c r="B2337" s="19" t="s">
        <v>4698</v>
      </c>
      <c r="C2337" s="20" t="s">
        <v>4699</v>
      </c>
      <c r="D2337" s="2">
        <v>60</v>
      </c>
      <c r="E2337" s="21"/>
      <c r="F2337" s="2">
        <f t="shared" ref="F2337:F2368" si="51">cena*zakaz</f>
        <v>0</v>
      </c>
      <c r="G2337" s="3" t="str">
        <f>HYPERLINK("http://tmmp-catalog.com.ua/katalog/20/18861/","фото")</f>
        <v>фото</v>
      </c>
      <c r="H2337" s="22"/>
    </row>
    <row r="2338" spans="1:8" ht="15" x14ac:dyDescent="0.2">
      <c r="A2338" s="18"/>
      <c r="B2338" s="19" t="s">
        <v>4700</v>
      </c>
      <c r="C2338" s="20" t="s">
        <v>4701</v>
      </c>
      <c r="D2338" s="2">
        <v>65</v>
      </c>
      <c r="E2338" s="21"/>
      <c r="F2338" s="2">
        <f t="shared" si="51"/>
        <v>0</v>
      </c>
      <c r="G2338" s="3" t="str">
        <f>HYPERLINK("http://tmmp-catalog.com.ua/katalog/20/18860/","фото")</f>
        <v>фото</v>
      </c>
      <c r="H2338" s="22"/>
    </row>
    <row r="2339" spans="1:8" ht="15" x14ac:dyDescent="0.2">
      <c r="A2339" s="18"/>
      <c r="B2339" s="19" t="s">
        <v>4702</v>
      </c>
      <c r="C2339" s="20" t="s">
        <v>4703</v>
      </c>
      <c r="D2339" s="2">
        <v>67</v>
      </c>
      <c r="E2339" s="21"/>
      <c r="F2339" s="2">
        <f t="shared" si="51"/>
        <v>0</v>
      </c>
      <c r="G2339" s="3" t="str">
        <f>HYPERLINK("http://tmmp-catalog.com.ua/katalog/20/18859/","фото")</f>
        <v>фото</v>
      </c>
      <c r="H2339" s="22"/>
    </row>
    <row r="2340" spans="1:8" ht="15" x14ac:dyDescent="0.2">
      <c r="A2340" s="18"/>
      <c r="B2340" s="19" t="s">
        <v>4704</v>
      </c>
      <c r="C2340" s="20" t="s">
        <v>4705</v>
      </c>
      <c r="D2340" s="2">
        <v>0.15</v>
      </c>
      <c r="E2340" s="21"/>
      <c r="F2340" s="2">
        <f t="shared" si="51"/>
        <v>0</v>
      </c>
      <c r="G2340" s="3" t="str">
        <f>HYPERLINK("http://tmmp-catalog.com.ua/katalog/20/16361/","фото")</f>
        <v>фото</v>
      </c>
      <c r="H2340" s="22"/>
    </row>
    <row r="2341" spans="1:8" ht="15" x14ac:dyDescent="0.2">
      <c r="A2341" s="18"/>
      <c r="B2341" s="19" t="s">
        <v>4706</v>
      </c>
      <c r="C2341" s="20" t="s">
        <v>4707</v>
      </c>
      <c r="D2341" s="2">
        <v>0.15</v>
      </c>
      <c r="E2341" s="21"/>
      <c r="F2341" s="2">
        <f t="shared" si="51"/>
        <v>0</v>
      </c>
      <c r="G2341" s="3" t="str">
        <f>HYPERLINK("http://tmmp-catalog.com.ua/katalog/20/16360/","фото")</f>
        <v>фото</v>
      </c>
      <c r="H2341" s="22"/>
    </row>
    <row r="2342" spans="1:8" ht="15" x14ac:dyDescent="0.2">
      <c r="A2342" s="18">
        <v>2000000015439</v>
      </c>
      <c r="B2342" s="19" t="s">
        <v>4708</v>
      </c>
      <c r="C2342" s="20" t="s">
        <v>4709</v>
      </c>
      <c r="D2342" s="2">
        <v>0.15</v>
      </c>
      <c r="E2342" s="21"/>
      <c r="F2342" s="2">
        <f t="shared" si="51"/>
        <v>0</v>
      </c>
      <c r="G2342" s="3" t="str">
        <f>HYPERLINK("http://tmmp-catalog.com.ua/katalog/20/13606/","фото")</f>
        <v>фото</v>
      </c>
      <c r="H2342" s="22"/>
    </row>
    <row r="2343" spans="1:8" ht="15" x14ac:dyDescent="0.2">
      <c r="A2343" s="18"/>
      <c r="B2343" s="19" t="s">
        <v>4710</v>
      </c>
      <c r="C2343" s="20" t="s">
        <v>4711</v>
      </c>
      <c r="D2343" s="2">
        <v>1.8</v>
      </c>
      <c r="E2343" s="21"/>
      <c r="F2343" s="2">
        <f t="shared" si="51"/>
        <v>0</v>
      </c>
      <c r="G2343" s="3" t="str">
        <f>HYPERLINK("http://tmmp-catalog.com.ua/katalog/20/17420/","фото")</f>
        <v>фото</v>
      </c>
      <c r="H2343" s="22"/>
    </row>
    <row r="2344" spans="1:8" ht="15" x14ac:dyDescent="0.2">
      <c r="A2344" s="18">
        <v>2000000015453</v>
      </c>
      <c r="B2344" s="19" t="s">
        <v>4712</v>
      </c>
      <c r="C2344" s="20" t="s">
        <v>4713</v>
      </c>
      <c r="D2344" s="2">
        <v>1.6</v>
      </c>
      <c r="E2344" s="21"/>
      <c r="F2344" s="2">
        <f t="shared" si="51"/>
        <v>0</v>
      </c>
      <c r="G2344" s="3" t="str">
        <f>HYPERLINK("http://tmmp-catalog.com.ua/katalog/20/13608/","фото")</f>
        <v>фото</v>
      </c>
      <c r="H2344" s="22"/>
    </row>
    <row r="2345" spans="1:8" ht="15" x14ac:dyDescent="0.2">
      <c r="A2345" s="18">
        <v>2000000016177</v>
      </c>
      <c r="B2345" s="19" t="s">
        <v>4714</v>
      </c>
      <c r="C2345" s="20" t="s">
        <v>4715</v>
      </c>
      <c r="D2345" s="2">
        <v>0.55000000000000004</v>
      </c>
      <c r="E2345" s="21"/>
      <c r="F2345" s="2">
        <f t="shared" si="51"/>
        <v>0</v>
      </c>
      <c r="G2345" s="3" t="str">
        <f>HYPERLINK("http://tmmp-catalog.com.ua/katalog/20/13680/","фото")</f>
        <v>фото</v>
      </c>
      <c r="H2345" s="22"/>
    </row>
    <row r="2346" spans="1:8" ht="15" x14ac:dyDescent="0.2">
      <c r="A2346" s="18">
        <v>2000000015484</v>
      </c>
      <c r="B2346" s="19" t="s">
        <v>4716</v>
      </c>
      <c r="C2346" s="20" t="s">
        <v>4717</v>
      </c>
      <c r="D2346" s="2">
        <v>0.6</v>
      </c>
      <c r="E2346" s="21"/>
      <c r="F2346" s="2">
        <f t="shared" si="51"/>
        <v>0</v>
      </c>
      <c r="G2346" s="3" t="str">
        <f>HYPERLINK("http://tmmp-catalog.com.ua/katalog/20/13611/","фото")</f>
        <v>фото</v>
      </c>
      <c r="H2346" s="22"/>
    </row>
    <row r="2347" spans="1:8" ht="15" x14ac:dyDescent="0.2">
      <c r="A2347" s="18">
        <v>2000000016573</v>
      </c>
      <c r="B2347" s="19" t="s">
        <v>4718</v>
      </c>
      <c r="C2347" s="20" t="s">
        <v>4719</v>
      </c>
      <c r="D2347" s="2">
        <v>0.6</v>
      </c>
      <c r="E2347" s="21"/>
      <c r="F2347" s="2">
        <f t="shared" si="51"/>
        <v>0</v>
      </c>
      <c r="G2347" s="3" t="str">
        <f>HYPERLINK("http://tmmp-catalog.com.ua/katalog/21/13960/","фото")</f>
        <v>фото</v>
      </c>
      <c r="H2347" s="22"/>
    </row>
    <row r="2348" spans="1:8" ht="15" x14ac:dyDescent="0.2">
      <c r="A2348" s="18">
        <v>2000000015491</v>
      </c>
      <c r="B2348" s="19" t="s">
        <v>4720</v>
      </c>
      <c r="C2348" s="20" t="s">
        <v>4721</v>
      </c>
      <c r="D2348" s="2">
        <v>4.4000000000000004</v>
      </c>
      <c r="E2348" s="21"/>
      <c r="F2348" s="2">
        <f t="shared" si="51"/>
        <v>0</v>
      </c>
      <c r="G2348" s="3" t="str">
        <f>HYPERLINK("http://tmmp-catalog.com.ua/katalog/20/13612/","фото")</f>
        <v>фото</v>
      </c>
      <c r="H2348" s="22"/>
    </row>
    <row r="2349" spans="1:8" ht="15" x14ac:dyDescent="0.2">
      <c r="A2349" s="18">
        <v>2000000015507</v>
      </c>
      <c r="B2349" s="19" t="s">
        <v>4722</v>
      </c>
      <c r="C2349" s="20" t="s">
        <v>4723</v>
      </c>
      <c r="D2349" s="2">
        <v>3</v>
      </c>
      <c r="E2349" s="21"/>
      <c r="F2349" s="2">
        <f t="shared" si="51"/>
        <v>0</v>
      </c>
      <c r="G2349" s="3" t="str">
        <f>HYPERLINK("http://tmmp-catalog.com.ua/katalog/20/13613/","фото")</f>
        <v>фото</v>
      </c>
      <c r="H2349" s="22"/>
    </row>
    <row r="2350" spans="1:8" ht="15" x14ac:dyDescent="0.2">
      <c r="A2350" s="18"/>
      <c r="B2350" s="19" t="s">
        <v>4724</v>
      </c>
      <c r="C2350" s="20" t="s">
        <v>4725</v>
      </c>
      <c r="D2350" s="2">
        <v>5</v>
      </c>
      <c r="E2350" s="21"/>
      <c r="F2350" s="2">
        <f t="shared" si="51"/>
        <v>0</v>
      </c>
      <c r="G2350" s="3" t="str">
        <f>HYPERLINK("http://tmmp-catalog.com.ua/katalog/20/18814/","фото")</f>
        <v>фото</v>
      </c>
      <c r="H2350" s="22"/>
    </row>
    <row r="2351" spans="1:8" ht="15" x14ac:dyDescent="0.2">
      <c r="A2351" s="18"/>
      <c r="B2351" s="19" t="s">
        <v>4726</v>
      </c>
      <c r="C2351" s="20" t="s">
        <v>4727</v>
      </c>
      <c r="D2351" s="2">
        <v>4</v>
      </c>
      <c r="E2351" s="21"/>
      <c r="F2351" s="2">
        <f t="shared" si="51"/>
        <v>0</v>
      </c>
      <c r="G2351" s="3" t="str">
        <f>HYPERLINK("http://tmmp-catalog.com.ua/katalog/20/17956/","фото")</f>
        <v>фото</v>
      </c>
      <c r="H2351" s="22"/>
    </row>
    <row r="2352" spans="1:8" ht="15" x14ac:dyDescent="0.2">
      <c r="A2352" s="18"/>
      <c r="B2352" s="19" t="s">
        <v>4728</v>
      </c>
      <c r="C2352" s="20" t="s">
        <v>4729</v>
      </c>
      <c r="D2352" s="2">
        <v>4.5</v>
      </c>
      <c r="E2352" s="21"/>
      <c r="F2352" s="2">
        <f t="shared" si="51"/>
        <v>0</v>
      </c>
      <c r="G2352" s="3" t="str">
        <f>HYPERLINK("http://tmmp-catalog.com.ua/katalog/20/17523/","фото")</f>
        <v>фото</v>
      </c>
      <c r="H2352" s="22"/>
    </row>
    <row r="2353" spans="1:8" ht="15" x14ac:dyDescent="0.2">
      <c r="A2353" s="18"/>
      <c r="B2353" s="19" t="s">
        <v>4730</v>
      </c>
      <c r="C2353" s="20" t="s">
        <v>4731</v>
      </c>
      <c r="D2353" s="2">
        <v>5.3</v>
      </c>
      <c r="E2353" s="21"/>
      <c r="F2353" s="2">
        <f t="shared" si="51"/>
        <v>0</v>
      </c>
      <c r="G2353" s="3" t="str">
        <f>HYPERLINK("http://tmmp-catalog.com.ua/katalog/20/18813/","фото")</f>
        <v>фото</v>
      </c>
      <c r="H2353" s="22"/>
    </row>
    <row r="2354" spans="1:8" ht="15" x14ac:dyDescent="0.2">
      <c r="A2354" s="18">
        <v>2000000015521</v>
      </c>
      <c r="B2354" s="19" t="s">
        <v>4732</v>
      </c>
      <c r="C2354" s="20" t="s">
        <v>4733</v>
      </c>
      <c r="D2354" s="2">
        <v>4</v>
      </c>
      <c r="E2354" s="21"/>
      <c r="F2354" s="2">
        <f t="shared" si="51"/>
        <v>0</v>
      </c>
      <c r="G2354" s="3" t="str">
        <f>HYPERLINK("http://tmmp-catalog.com.ua/katalog/20/13615/","фото")</f>
        <v>фото</v>
      </c>
      <c r="H2354" s="22"/>
    </row>
    <row r="2355" spans="1:8" ht="15" x14ac:dyDescent="0.2">
      <c r="A2355" s="18"/>
      <c r="B2355" s="19" t="s">
        <v>4734</v>
      </c>
      <c r="C2355" s="20" t="s">
        <v>4735</v>
      </c>
      <c r="D2355" s="2">
        <v>5.5</v>
      </c>
      <c r="E2355" s="21"/>
      <c r="F2355" s="2">
        <f t="shared" si="51"/>
        <v>0</v>
      </c>
      <c r="G2355" s="3" t="str">
        <f>HYPERLINK("http://tmmp-catalog.com.ua/katalog/20/17421/","фото")</f>
        <v>фото</v>
      </c>
      <c r="H2355" s="22"/>
    </row>
    <row r="2356" spans="1:8" ht="15" x14ac:dyDescent="0.2">
      <c r="A2356" s="18"/>
      <c r="B2356" s="19" t="s">
        <v>4736</v>
      </c>
      <c r="C2356" s="20" t="s">
        <v>4737</v>
      </c>
      <c r="D2356" s="2">
        <v>9.9</v>
      </c>
      <c r="E2356" s="21"/>
      <c r="F2356" s="2">
        <f t="shared" si="51"/>
        <v>0</v>
      </c>
      <c r="G2356" s="3" t="str">
        <f>HYPERLINK("http://tmmp-catalog.com.ua/katalog/20/18820/","фото")</f>
        <v>фото</v>
      </c>
      <c r="H2356" s="22"/>
    </row>
    <row r="2357" spans="1:8" ht="15" x14ac:dyDescent="0.2">
      <c r="A2357" s="18"/>
      <c r="B2357" s="19" t="s">
        <v>4738</v>
      </c>
      <c r="C2357" s="20" t="s">
        <v>4739</v>
      </c>
      <c r="D2357" s="2">
        <v>0.1</v>
      </c>
      <c r="E2357" s="21"/>
      <c r="F2357" s="2">
        <f t="shared" si="51"/>
        <v>0</v>
      </c>
      <c r="G2357" s="3" t="str">
        <f>HYPERLINK("http://tmmp-catalog.com.ua/katalog/20/17726/","фото")</f>
        <v>фото</v>
      </c>
      <c r="H2357" s="22"/>
    </row>
    <row r="2358" spans="1:8" ht="15" x14ac:dyDescent="0.2">
      <c r="A2358" s="18">
        <v>2000000015545</v>
      </c>
      <c r="B2358" s="19" t="s">
        <v>4740</v>
      </c>
      <c r="C2358" s="20" t="s">
        <v>4741</v>
      </c>
      <c r="D2358" s="2">
        <v>2.6</v>
      </c>
      <c r="E2358" s="21"/>
      <c r="F2358" s="2">
        <f t="shared" si="51"/>
        <v>0</v>
      </c>
      <c r="G2358" s="3" t="str">
        <f>HYPERLINK("http://tmmp-catalog.com.ua/katalog/20/13617/","фото")</f>
        <v>фото</v>
      </c>
      <c r="H2358" s="22"/>
    </row>
    <row r="2359" spans="1:8" ht="15" x14ac:dyDescent="0.2">
      <c r="A2359" s="18">
        <v>2000000015552</v>
      </c>
      <c r="B2359" s="19" t="s">
        <v>4742</v>
      </c>
      <c r="C2359" s="20" t="s">
        <v>4743</v>
      </c>
      <c r="D2359" s="2">
        <v>2.5</v>
      </c>
      <c r="E2359" s="21"/>
      <c r="F2359" s="2">
        <f t="shared" si="51"/>
        <v>0</v>
      </c>
      <c r="G2359" s="3" t="str">
        <f>HYPERLINK("http://tmmp-catalog.com.ua/katalog/20/13618/","фото")</f>
        <v>фото</v>
      </c>
      <c r="H2359" s="22"/>
    </row>
    <row r="2360" spans="1:8" ht="15" x14ac:dyDescent="0.2">
      <c r="A2360" s="18"/>
      <c r="B2360" s="19" t="s">
        <v>4744</v>
      </c>
      <c r="C2360" s="20" t="s">
        <v>4745</v>
      </c>
      <c r="D2360" s="2">
        <v>3.8</v>
      </c>
      <c r="E2360" s="21"/>
      <c r="F2360" s="2">
        <f t="shared" si="51"/>
        <v>0</v>
      </c>
      <c r="G2360" s="3" t="str">
        <f>HYPERLINK("http://tmmp-catalog.com.ua/katalog/20/17496/","фото")</f>
        <v>фото</v>
      </c>
      <c r="H2360" s="22"/>
    </row>
    <row r="2361" spans="1:8" ht="15" x14ac:dyDescent="0.2">
      <c r="A2361" s="18">
        <v>2000000015606</v>
      </c>
      <c r="B2361" s="19" t="s">
        <v>4746</v>
      </c>
      <c r="C2361" s="20" t="s">
        <v>4747</v>
      </c>
      <c r="D2361" s="2">
        <v>3.7</v>
      </c>
      <c r="E2361" s="21"/>
      <c r="F2361" s="2">
        <f t="shared" si="51"/>
        <v>0</v>
      </c>
      <c r="G2361" s="3" t="str">
        <f>HYPERLINK("http://tmmp-catalog.com.ua/katalog/20/13623/","фото")</f>
        <v>фото</v>
      </c>
      <c r="H2361" s="22"/>
    </row>
    <row r="2362" spans="1:8" ht="15" x14ac:dyDescent="0.2">
      <c r="A2362" s="18">
        <v>2000000015613</v>
      </c>
      <c r="B2362" s="19" t="s">
        <v>4748</v>
      </c>
      <c r="C2362" s="20" t="s">
        <v>4749</v>
      </c>
      <c r="D2362" s="2">
        <v>0.4</v>
      </c>
      <c r="E2362" s="21"/>
      <c r="F2362" s="2">
        <f t="shared" si="51"/>
        <v>0</v>
      </c>
      <c r="G2362" s="3" t="str">
        <f>HYPERLINK("http://tmmp-catalog.com.ua/katalog/20/13624/","фото")</f>
        <v>фото</v>
      </c>
      <c r="H2362" s="22"/>
    </row>
    <row r="2363" spans="1:8" ht="15" x14ac:dyDescent="0.2">
      <c r="A2363" s="18">
        <v>2000000015644</v>
      </c>
      <c r="B2363" s="19" t="s">
        <v>4750</v>
      </c>
      <c r="C2363" s="20" t="s">
        <v>4751</v>
      </c>
      <c r="D2363" s="2">
        <v>0.55000000000000004</v>
      </c>
      <c r="E2363" s="21"/>
      <c r="F2363" s="2">
        <f t="shared" si="51"/>
        <v>0</v>
      </c>
      <c r="G2363" s="3" t="str">
        <f>HYPERLINK("http://tmmp-catalog.com.ua/katalog/20/13627/","фото")</f>
        <v>фото</v>
      </c>
      <c r="H2363" s="22"/>
    </row>
    <row r="2364" spans="1:8" ht="15" x14ac:dyDescent="0.2">
      <c r="A2364" s="18">
        <v>2000000015620</v>
      </c>
      <c r="B2364" s="19" t="s">
        <v>4752</v>
      </c>
      <c r="C2364" s="20" t="s">
        <v>4753</v>
      </c>
      <c r="D2364" s="2">
        <v>0.45</v>
      </c>
      <c r="E2364" s="21"/>
      <c r="F2364" s="2">
        <f t="shared" si="51"/>
        <v>0</v>
      </c>
      <c r="G2364" s="3" t="str">
        <f>HYPERLINK("http://tmmp-catalog.com.ua/katalog/20/13625/","фото")</f>
        <v>фото</v>
      </c>
      <c r="H2364" s="22"/>
    </row>
    <row r="2365" spans="1:8" ht="15" x14ac:dyDescent="0.2">
      <c r="A2365" s="18">
        <v>2000000015651</v>
      </c>
      <c r="B2365" s="19" t="s">
        <v>4754</v>
      </c>
      <c r="C2365" s="20" t="s">
        <v>4755</v>
      </c>
      <c r="D2365" s="2">
        <v>0.55000000000000004</v>
      </c>
      <c r="E2365" s="21"/>
      <c r="F2365" s="2">
        <f t="shared" si="51"/>
        <v>0</v>
      </c>
      <c r="G2365" s="3" t="str">
        <f>HYPERLINK("http://tmmp-catalog.com.ua/katalog/20/13628/","фото")</f>
        <v>фото</v>
      </c>
      <c r="H2365" s="22"/>
    </row>
    <row r="2366" spans="1:8" ht="15" x14ac:dyDescent="0.2">
      <c r="A2366" s="18">
        <v>2000000015637</v>
      </c>
      <c r="B2366" s="19" t="s">
        <v>4756</v>
      </c>
      <c r="C2366" s="20" t="s">
        <v>4757</v>
      </c>
      <c r="D2366" s="2">
        <v>0.45</v>
      </c>
      <c r="E2366" s="21"/>
      <c r="F2366" s="2">
        <f t="shared" si="51"/>
        <v>0</v>
      </c>
      <c r="G2366" s="3" t="str">
        <f>HYPERLINK("http://tmmp-catalog.com.ua/katalog/20/13626/","фото")</f>
        <v>фото</v>
      </c>
      <c r="H2366" s="22"/>
    </row>
    <row r="2367" spans="1:8" ht="15" x14ac:dyDescent="0.2">
      <c r="A2367" s="18">
        <v>2000000015668</v>
      </c>
      <c r="B2367" s="19" t="s">
        <v>4758</v>
      </c>
      <c r="C2367" s="20" t="s">
        <v>4759</v>
      </c>
      <c r="D2367" s="2">
        <v>0.55000000000000004</v>
      </c>
      <c r="E2367" s="21"/>
      <c r="F2367" s="2">
        <f t="shared" si="51"/>
        <v>0</v>
      </c>
      <c r="G2367" s="3" t="str">
        <f>HYPERLINK("http://tmmp-catalog.com.ua/katalog/20/13629/","фото")</f>
        <v>фото</v>
      </c>
      <c r="H2367" s="22"/>
    </row>
    <row r="2368" spans="1:8" ht="15" x14ac:dyDescent="0.2">
      <c r="A2368" s="18"/>
      <c r="B2368" s="19" t="s">
        <v>4760</v>
      </c>
      <c r="C2368" s="20" t="s">
        <v>4761</v>
      </c>
      <c r="D2368" s="2">
        <v>0.45</v>
      </c>
      <c r="E2368" s="21"/>
      <c r="F2368" s="2">
        <f t="shared" si="51"/>
        <v>0</v>
      </c>
      <c r="G2368" s="3" t="str">
        <f>HYPERLINK("http://tmmp-catalog.com.ua/katalog/37/18350/","фото")</f>
        <v>фото</v>
      </c>
      <c r="H2368" s="22"/>
    </row>
    <row r="2369" spans="1:8" ht="15" x14ac:dyDescent="0.2">
      <c r="A2369" s="18">
        <v>2000000015675</v>
      </c>
      <c r="B2369" s="19" t="s">
        <v>4762</v>
      </c>
      <c r="C2369" s="20" t="s">
        <v>4763</v>
      </c>
      <c r="D2369" s="2">
        <v>0.1</v>
      </c>
      <c r="E2369" s="21"/>
      <c r="F2369" s="2">
        <f t="shared" ref="F2369:F2400" si="52">cena*zakaz</f>
        <v>0</v>
      </c>
      <c r="G2369" s="3" t="str">
        <f>HYPERLINK("http://tmmp-catalog.com.ua/katalog/20/13630/","фото")</f>
        <v>фото</v>
      </c>
      <c r="H2369" s="22"/>
    </row>
    <row r="2370" spans="1:8" ht="15" x14ac:dyDescent="0.2">
      <c r="A2370" s="18"/>
      <c r="B2370" s="19" t="s">
        <v>4764</v>
      </c>
      <c r="C2370" s="20" t="s">
        <v>4765</v>
      </c>
      <c r="D2370" s="2">
        <v>1.5</v>
      </c>
      <c r="E2370" s="21"/>
      <c r="F2370" s="2">
        <f t="shared" si="52"/>
        <v>0</v>
      </c>
      <c r="G2370" s="3" t="str">
        <f>HYPERLINK("http://tmmp-catalog.com.ua/katalog/20/17786/","фото")</f>
        <v>фото</v>
      </c>
      <c r="H2370" s="22"/>
    </row>
    <row r="2371" spans="1:8" ht="15" x14ac:dyDescent="0.2">
      <c r="A2371" s="18">
        <v>2000000016306</v>
      </c>
      <c r="B2371" s="19" t="s">
        <v>4766</v>
      </c>
      <c r="C2371" s="20" t="s">
        <v>4767</v>
      </c>
      <c r="D2371" s="2">
        <v>1</v>
      </c>
      <c r="E2371" s="21"/>
      <c r="F2371" s="2">
        <f t="shared" si="52"/>
        <v>0</v>
      </c>
      <c r="G2371" s="3" t="str">
        <f>HYPERLINK("http://tmmp-catalog.com.ua/katalog/20/13693/","фото")</f>
        <v>фото</v>
      </c>
      <c r="H2371" s="22"/>
    </row>
    <row r="2372" spans="1:8" ht="15" x14ac:dyDescent="0.2">
      <c r="A2372" s="18">
        <v>2000000016313</v>
      </c>
      <c r="B2372" s="19" t="s">
        <v>4768</v>
      </c>
      <c r="C2372" s="20" t="s">
        <v>4769</v>
      </c>
      <c r="D2372" s="2">
        <v>1.4</v>
      </c>
      <c r="E2372" s="21"/>
      <c r="F2372" s="2">
        <f t="shared" si="52"/>
        <v>0</v>
      </c>
      <c r="G2372" s="3" t="str">
        <f>HYPERLINK("http://tmmp-catalog.com.ua/katalog/20/13694/","фото")</f>
        <v>фото</v>
      </c>
      <c r="H2372" s="22"/>
    </row>
    <row r="2373" spans="1:8" ht="15" x14ac:dyDescent="0.2">
      <c r="A2373" s="18">
        <v>2000000015972</v>
      </c>
      <c r="B2373" s="19" t="s">
        <v>4770</v>
      </c>
      <c r="C2373" s="20" t="s">
        <v>4771</v>
      </c>
      <c r="D2373" s="2">
        <v>0.12</v>
      </c>
      <c r="E2373" s="21"/>
      <c r="F2373" s="2">
        <f t="shared" si="52"/>
        <v>0</v>
      </c>
      <c r="G2373" s="3" t="str">
        <f>HYPERLINK("http://tmmp-catalog.com.ua/katalog/20/13660/","фото")</f>
        <v>фото</v>
      </c>
      <c r="H2373" s="22"/>
    </row>
    <row r="2374" spans="1:8" ht="15" x14ac:dyDescent="0.2">
      <c r="A2374" s="18">
        <v>2000000015989</v>
      </c>
      <c r="B2374" s="19" t="s">
        <v>4772</v>
      </c>
      <c r="C2374" s="20" t="s">
        <v>4773</v>
      </c>
      <c r="D2374" s="2">
        <v>0.2</v>
      </c>
      <c r="E2374" s="21"/>
      <c r="F2374" s="2">
        <f t="shared" si="52"/>
        <v>0</v>
      </c>
      <c r="G2374" s="3" t="str">
        <f>HYPERLINK("http://tmmp-catalog.com.ua/katalog/20/13661/","фото")</f>
        <v>фото</v>
      </c>
      <c r="H2374" s="22"/>
    </row>
    <row r="2375" spans="1:8" ht="15" x14ac:dyDescent="0.2">
      <c r="A2375" s="18"/>
      <c r="B2375" s="19" t="s">
        <v>4774</v>
      </c>
      <c r="C2375" s="20" t="s">
        <v>4775</v>
      </c>
      <c r="D2375" s="2">
        <v>1.6</v>
      </c>
      <c r="E2375" s="21"/>
      <c r="F2375" s="2">
        <f t="shared" si="52"/>
        <v>0</v>
      </c>
      <c r="G2375" s="3" t="str">
        <f>HYPERLINK("http://tmmp-catalog.com.ua/katalog/20/17728/","фото")</f>
        <v>фото</v>
      </c>
      <c r="H2375" s="22"/>
    </row>
    <row r="2376" spans="1:8" ht="15" x14ac:dyDescent="0.2">
      <c r="A2376" s="18">
        <v>2000000036953</v>
      </c>
      <c r="B2376" s="19" t="s">
        <v>4776</v>
      </c>
      <c r="C2376" s="20" t="s">
        <v>4777</v>
      </c>
      <c r="D2376" s="2">
        <v>0.2</v>
      </c>
      <c r="E2376" s="21"/>
      <c r="F2376" s="2">
        <f t="shared" si="52"/>
        <v>0</v>
      </c>
      <c r="G2376" s="3" t="str">
        <f>HYPERLINK("http://tmmp-catalog.com.ua/katalog/20/16381/","фото")</f>
        <v>фото</v>
      </c>
      <c r="H2376" s="22"/>
    </row>
    <row r="2377" spans="1:8" ht="15" x14ac:dyDescent="0.2">
      <c r="A2377" s="18">
        <v>2000000016009</v>
      </c>
      <c r="B2377" s="19" t="s">
        <v>4778</v>
      </c>
      <c r="C2377" s="20" t="s">
        <v>4779</v>
      </c>
      <c r="D2377" s="2">
        <v>0.15</v>
      </c>
      <c r="E2377" s="21"/>
      <c r="F2377" s="2">
        <f t="shared" si="52"/>
        <v>0</v>
      </c>
      <c r="G2377" s="3" t="str">
        <f>HYPERLINK("http://tmmp-catalog.com.ua/katalog/20/13663/","фото")</f>
        <v>фото</v>
      </c>
      <c r="H2377" s="22"/>
    </row>
    <row r="2378" spans="1:8" ht="15" x14ac:dyDescent="0.2">
      <c r="A2378" s="18">
        <v>2000000015699</v>
      </c>
      <c r="B2378" s="19" t="s">
        <v>4780</v>
      </c>
      <c r="C2378" s="20" t="s">
        <v>4781</v>
      </c>
      <c r="D2378" s="2">
        <v>0.15</v>
      </c>
      <c r="E2378" s="21"/>
      <c r="F2378" s="2">
        <f t="shared" si="52"/>
        <v>0</v>
      </c>
      <c r="G2378" s="3" t="str">
        <f>HYPERLINK("http://tmmp-catalog.com.ua/katalog/20/13632/","фото")</f>
        <v>фото</v>
      </c>
      <c r="H2378" s="22"/>
    </row>
    <row r="2379" spans="1:8" ht="15" x14ac:dyDescent="0.2">
      <c r="A2379" s="18">
        <v>2000000015682</v>
      </c>
      <c r="B2379" s="19" t="s">
        <v>4782</v>
      </c>
      <c r="C2379" s="20" t="s">
        <v>4783</v>
      </c>
      <c r="D2379" s="2">
        <v>1</v>
      </c>
      <c r="E2379" s="21"/>
      <c r="F2379" s="2">
        <f t="shared" si="52"/>
        <v>0</v>
      </c>
      <c r="G2379" s="3" t="str">
        <f>HYPERLINK("http://tmmp-catalog.com.ua/katalog/20/13631/","фото")</f>
        <v>фото</v>
      </c>
      <c r="H2379" s="22"/>
    </row>
    <row r="2380" spans="1:8" ht="15" x14ac:dyDescent="0.2">
      <c r="A2380" s="18">
        <v>2000000015705</v>
      </c>
      <c r="B2380" s="19" t="s">
        <v>4784</v>
      </c>
      <c r="C2380" s="20" t="s">
        <v>4785</v>
      </c>
      <c r="D2380" s="2">
        <v>1</v>
      </c>
      <c r="E2380" s="21"/>
      <c r="F2380" s="2">
        <f t="shared" si="52"/>
        <v>0</v>
      </c>
      <c r="G2380" s="3" t="str">
        <f>HYPERLINK("http://tmmp-catalog.com.ua/katalog/20/13633/","фото")</f>
        <v>фото</v>
      </c>
      <c r="H2380" s="22"/>
    </row>
    <row r="2381" spans="1:8" ht="15" x14ac:dyDescent="0.2">
      <c r="A2381" s="18"/>
      <c r="B2381" s="19" t="s">
        <v>4786</v>
      </c>
      <c r="C2381" s="20" t="s">
        <v>4787</v>
      </c>
      <c r="D2381" s="2">
        <v>0.8</v>
      </c>
      <c r="E2381" s="21"/>
      <c r="F2381" s="2">
        <f t="shared" si="52"/>
        <v>0</v>
      </c>
      <c r="G2381" s="3" t="str">
        <f>HYPERLINK("http://tmmp-catalog.com.ua/katalog/20/17422/","фото")</f>
        <v>фото</v>
      </c>
      <c r="H2381" s="22"/>
    </row>
    <row r="2382" spans="1:8" ht="15" x14ac:dyDescent="0.2">
      <c r="A2382" s="18">
        <v>2000000015712</v>
      </c>
      <c r="B2382" s="19" t="s">
        <v>4788</v>
      </c>
      <c r="C2382" s="20" t="s">
        <v>4789</v>
      </c>
      <c r="D2382" s="2">
        <v>0.1</v>
      </c>
      <c r="E2382" s="21"/>
      <c r="F2382" s="2">
        <f t="shared" si="52"/>
        <v>0</v>
      </c>
      <c r="G2382" s="3" t="str">
        <f>HYPERLINK("http://tmmp-catalog.com.ua/katalog/20/13634/","фото")</f>
        <v>фото</v>
      </c>
      <c r="H2382" s="22"/>
    </row>
    <row r="2383" spans="1:8" ht="15" x14ac:dyDescent="0.2">
      <c r="A2383" s="18">
        <v>2000000015736</v>
      </c>
      <c r="B2383" s="19" t="s">
        <v>4790</v>
      </c>
      <c r="C2383" s="20" t="s">
        <v>4791</v>
      </c>
      <c r="D2383" s="2">
        <v>0.2</v>
      </c>
      <c r="E2383" s="21"/>
      <c r="F2383" s="2">
        <f t="shared" si="52"/>
        <v>0</v>
      </c>
      <c r="G2383" s="3" t="str">
        <f>HYPERLINK("http://tmmp-catalog.com.ua/katalog/20/13636/","фото")</f>
        <v>фото</v>
      </c>
      <c r="H2383" s="22"/>
    </row>
    <row r="2384" spans="1:8" ht="15" x14ac:dyDescent="0.2">
      <c r="A2384" s="18">
        <v>2000000015750</v>
      </c>
      <c r="B2384" s="19" t="s">
        <v>4792</v>
      </c>
      <c r="C2384" s="20" t="s">
        <v>4793</v>
      </c>
      <c r="D2384" s="2">
        <v>2.6</v>
      </c>
      <c r="E2384" s="21"/>
      <c r="F2384" s="2">
        <f t="shared" si="52"/>
        <v>0</v>
      </c>
      <c r="G2384" s="3" t="str">
        <f>HYPERLINK("http://tmmp-catalog.com.ua/katalog/20/13638/","фото")</f>
        <v>фото</v>
      </c>
      <c r="H2384" s="22"/>
    </row>
    <row r="2385" spans="1:8" ht="15" x14ac:dyDescent="0.2">
      <c r="A2385" s="18">
        <v>2000000015767</v>
      </c>
      <c r="B2385" s="19" t="s">
        <v>4794</v>
      </c>
      <c r="C2385" s="20" t="s">
        <v>4795</v>
      </c>
      <c r="D2385" s="2">
        <v>2.2000000000000002</v>
      </c>
      <c r="E2385" s="21"/>
      <c r="F2385" s="2">
        <f t="shared" si="52"/>
        <v>0</v>
      </c>
      <c r="G2385" s="3" t="str">
        <f>HYPERLINK("http://tmmp-catalog.com.ua/katalog/20/13639/","фото")</f>
        <v>фото</v>
      </c>
      <c r="H2385" s="22"/>
    </row>
    <row r="2386" spans="1:8" ht="15" x14ac:dyDescent="0.2">
      <c r="A2386" s="18">
        <v>2000000015774</v>
      </c>
      <c r="B2386" s="19" t="s">
        <v>4796</v>
      </c>
      <c r="C2386" s="20" t="s">
        <v>4797</v>
      </c>
      <c r="D2386" s="2">
        <v>2.7</v>
      </c>
      <c r="E2386" s="21"/>
      <c r="F2386" s="2">
        <f t="shared" si="52"/>
        <v>0</v>
      </c>
      <c r="G2386" s="3" t="str">
        <f>HYPERLINK("http://tmmp-catalog.com.ua/katalog/20/13640/","фото")</f>
        <v>фото</v>
      </c>
      <c r="H2386" s="22"/>
    </row>
    <row r="2387" spans="1:8" ht="15" x14ac:dyDescent="0.2">
      <c r="A2387" s="18"/>
      <c r="B2387" s="19" t="s">
        <v>4798</v>
      </c>
      <c r="C2387" s="20" t="s">
        <v>4799</v>
      </c>
      <c r="D2387" s="2">
        <v>1.1000000000000001</v>
      </c>
      <c r="E2387" s="21"/>
      <c r="F2387" s="2">
        <f t="shared" si="52"/>
        <v>0</v>
      </c>
      <c r="G2387" s="3" t="str">
        <f>HYPERLINK("http://tmmp-catalog.com.ua/katalog/20/17423/","фото")</f>
        <v>фото</v>
      </c>
      <c r="H2387" s="22"/>
    </row>
    <row r="2388" spans="1:8" ht="15" x14ac:dyDescent="0.2">
      <c r="A2388" s="18">
        <v>2000000015804</v>
      </c>
      <c r="B2388" s="19" t="s">
        <v>4800</v>
      </c>
      <c r="C2388" s="20" t="s">
        <v>4801</v>
      </c>
      <c r="D2388" s="2">
        <v>0.15</v>
      </c>
      <c r="E2388" s="21"/>
      <c r="F2388" s="2">
        <f t="shared" si="52"/>
        <v>0</v>
      </c>
      <c r="G2388" s="3" t="str">
        <f>HYPERLINK("http://tmmp-catalog.com.ua/katalog/20/13643/","фото")</f>
        <v>фото</v>
      </c>
      <c r="H2388" s="22"/>
    </row>
    <row r="2389" spans="1:8" ht="15" x14ac:dyDescent="0.2">
      <c r="A2389" s="18">
        <v>2000000016337</v>
      </c>
      <c r="B2389" s="19" t="s">
        <v>4802</v>
      </c>
      <c r="C2389" s="20" t="s">
        <v>4803</v>
      </c>
      <c r="D2389" s="2">
        <v>0.3</v>
      </c>
      <c r="E2389" s="21"/>
      <c r="F2389" s="2">
        <f t="shared" si="52"/>
        <v>0</v>
      </c>
      <c r="G2389" s="3" t="str">
        <f>HYPERLINK("http://tmmp-catalog.com.ua/katalog/20/13696/","фото")</f>
        <v>фото</v>
      </c>
      <c r="H2389" s="22"/>
    </row>
    <row r="2390" spans="1:8" ht="15" x14ac:dyDescent="0.2">
      <c r="A2390" s="18"/>
      <c r="B2390" s="19" t="s">
        <v>4804</v>
      </c>
      <c r="C2390" s="20" t="s">
        <v>4805</v>
      </c>
      <c r="D2390" s="2">
        <v>0.3</v>
      </c>
      <c r="E2390" s="21"/>
      <c r="F2390" s="2">
        <f t="shared" si="52"/>
        <v>0</v>
      </c>
      <c r="G2390" s="3" t="str">
        <f>HYPERLINK("http://tmmp-catalog.com.ua/katalog/20/16370/","фото")</f>
        <v>фото</v>
      </c>
      <c r="H2390" s="22"/>
    </row>
    <row r="2391" spans="1:8" ht="15" x14ac:dyDescent="0.2">
      <c r="A2391" s="18"/>
      <c r="B2391" s="19" t="s">
        <v>4806</v>
      </c>
      <c r="C2391" s="20" t="s">
        <v>4807</v>
      </c>
      <c r="D2391" s="2">
        <v>0.2</v>
      </c>
      <c r="E2391" s="21"/>
      <c r="F2391" s="2">
        <f t="shared" si="52"/>
        <v>0</v>
      </c>
      <c r="G2391" s="3" t="str">
        <f>HYPERLINK("http://tmmp-catalog.com.ua/katalog/20/17729/","фото")</f>
        <v>фото</v>
      </c>
      <c r="H2391" s="22"/>
    </row>
    <row r="2392" spans="1:8" ht="15" x14ac:dyDescent="0.2">
      <c r="A2392" s="18">
        <v>2000000015828</v>
      </c>
      <c r="B2392" s="19" t="s">
        <v>4808</v>
      </c>
      <c r="C2392" s="20" t="s">
        <v>4809</v>
      </c>
      <c r="D2392" s="2">
        <v>0.6</v>
      </c>
      <c r="E2392" s="21"/>
      <c r="F2392" s="2">
        <f t="shared" si="52"/>
        <v>0</v>
      </c>
      <c r="G2392" s="3" t="str">
        <f>HYPERLINK("http://tmmp-catalog.com.ua/katalog/20/13645/","фото")</f>
        <v>фото</v>
      </c>
      <c r="H2392" s="22"/>
    </row>
    <row r="2393" spans="1:8" ht="15" x14ac:dyDescent="0.2">
      <c r="A2393" s="18"/>
      <c r="B2393" s="19" t="s">
        <v>4810</v>
      </c>
      <c r="C2393" s="20" t="s">
        <v>4811</v>
      </c>
      <c r="D2393" s="2">
        <v>0.4</v>
      </c>
      <c r="E2393" s="21"/>
      <c r="F2393" s="2">
        <f t="shared" si="52"/>
        <v>0</v>
      </c>
      <c r="G2393" s="3" t="str">
        <f>HYPERLINK("http://tmmp-catalog.com.ua/katalog/20/17499/","фото")</f>
        <v>фото</v>
      </c>
      <c r="H2393" s="22"/>
    </row>
    <row r="2394" spans="1:8" ht="15" x14ac:dyDescent="0.2">
      <c r="A2394" s="18"/>
      <c r="B2394" s="19" t="s">
        <v>4812</v>
      </c>
      <c r="C2394" s="20" t="s">
        <v>4813</v>
      </c>
      <c r="D2394" s="2">
        <v>0.2</v>
      </c>
      <c r="E2394" s="21"/>
      <c r="F2394" s="2">
        <f t="shared" si="52"/>
        <v>0</v>
      </c>
      <c r="G2394" s="3" t="str">
        <f>HYPERLINK("http://tmmp-catalog.com.ua/katalog/20/17701/","фото")</f>
        <v>фото</v>
      </c>
      <c r="H2394" s="22"/>
    </row>
    <row r="2395" spans="1:8" ht="15" x14ac:dyDescent="0.2">
      <c r="A2395" s="18">
        <v>2000000015859</v>
      </c>
      <c r="B2395" s="19" t="s">
        <v>4814</v>
      </c>
      <c r="C2395" s="20" t="s">
        <v>4815</v>
      </c>
      <c r="D2395" s="2">
        <v>0.1</v>
      </c>
      <c r="E2395" s="21"/>
      <c r="F2395" s="2">
        <f t="shared" si="52"/>
        <v>0</v>
      </c>
      <c r="G2395" s="3" t="str">
        <f>HYPERLINK("http://tmmp-catalog.com.ua/katalog/20/13648/","фото")</f>
        <v>фото</v>
      </c>
      <c r="H2395" s="22"/>
    </row>
    <row r="2396" spans="1:8" ht="15" x14ac:dyDescent="0.2">
      <c r="A2396" s="18">
        <v>2000000015866</v>
      </c>
      <c r="B2396" s="19" t="s">
        <v>4816</v>
      </c>
      <c r="C2396" s="20" t="s">
        <v>4817</v>
      </c>
      <c r="D2396" s="2">
        <v>0.1</v>
      </c>
      <c r="E2396" s="21"/>
      <c r="F2396" s="2">
        <f t="shared" si="52"/>
        <v>0</v>
      </c>
      <c r="G2396" s="3" t="str">
        <f>HYPERLINK("http://tmmp-catalog.com.ua/katalog/20/13649/","фото")</f>
        <v>фото</v>
      </c>
      <c r="H2396" s="22"/>
    </row>
    <row r="2397" spans="1:8" ht="15" x14ac:dyDescent="0.2">
      <c r="A2397" s="18">
        <v>2000000015873</v>
      </c>
      <c r="B2397" s="19" t="s">
        <v>4818</v>
      </c>
      <c r="C2397" s="20" t="s">
        <v>4819</v>
      </c>
      <c r="D2397" s="2">
        <v>0.2</v>
      </c>
      <c r="E2397" s="21"/>
      <c r="F2397" s="2">
        <f t="shared" si="52"/>
        <v>0</v>
      </c>
      <c r="G2397" s="3" t="str">
        <f>HYPERLINK("http://tmmp-catalog.com.ua/katalog/20/13650/","фото")</f>
        <v>фото</v>
      </c>
      <c r="H2397" s="22"/>
    </row>
    <row r="2398" spans="1:8" ht="15" x14ac:dyDescent="0.2">
      <c r="A2398" s="18">
        <v>2000000015880</v>
      </c>
      <c r="B2398" s="19" t="s">
        <v>4820</v>
      </c>
      <c r="C2398" s="20" t="s">
        <v>4821</v>
      </c>
      <c r="D2398" s="2">
        <v>0.15</v>
      </c>
      <c r="E2398" s="21"/>
      <c r="F2398" s="2">
        <f t="shared" si="52"/>
        <v>0</v>
      </c>
      <c r="G2398" s="3" t="str">
        <f>HYPERLINK("http://tmmp-catalog.com.ua/katalog/20/13651/","фото")</f>
        <v>фото</v>
      </c>
      <c r="H2398" s="22"/>
    </row>
    <row r="2399" spans="1:8" ht="15" x14ac:dyDescent="0.2">
      <c r="A2399" s="18"/>
      <c r="B2399" s="19" t="s">
        <v>4822</v>
      </c>
      <c r="C2399" s="20" t="s">
        <v>4823</v>
      </c>
      <c r="D2399" s="2">
        <v>1.5</v>
      </c>
      <c r="E2399" s="21"/>
      <c r="F2399" s="2">
        <f t="shared" si="52"/>
        <v>0</v>
      </c>
      <c r="G2399" s="3" t="str">
        <f>HYPERLINK("http://tmmp-catalog.com.ua/katalog/20/18097/","фото")</f>
        <v>фото</v>
      </c>
      <c r="H2399" s="22"/>
    </row>
    <row r="2400" spans="1:8" ht="15" x14ac:dyDescent="0.2">
      <c r="A2400" s="18">
        <v>2000000015910</v>
      </c>
      <c r="B2400" s="19" t="s">
        <v>4824</v>
      </c>
      <c r="C2400" s="20" t="s">
        <v>4825</v>
      </c>
      <c r="D2400" s="2">
        <v>1.1000000000000001</v>
      </c>
      <c r="E2400" s="21"/>
      <c r="F2400" s="2">
        <f t="shared" si="52"/>
        <v>0</v>
      </c>
      <c r="G2400" s="3" t="str">
        <f>HYPERLINK("http://tmmp-catalog.com.ua/katalog/20/13654/","фото")</f>
        <v>фото</v>
      </c>
      <c r="H2400" s="22"/>
    </row>
    <row r="2401" spans="1:8" ht="15" x14ac:dyDescent="0.2">
      <c r="A2401" s="18">
        <v>2000000015897</v>
      </c>
      <c r="B2401" s="19" t="s">
        <v>4826</v>
      </c>
      <c r="C2401" s="20" t="s">
        <v>4827</v>
      </c>
      <c r="D2401" s="2">
        <v>1.1000000000000001</v>
      </c>
      <c r="E2401" s="21"/>
      <c r="F2401" s="2">
        <f t="shared" ref="F2401:F2432" si="53">cena*zakaz</f>
        <v>0</v>
      </c>
      <c r="G2401" s="3" t="str">
        <f>HYPERLINK("http://tmmp-catalog.com.ua/katalog/20/13652/","фото")</f>
        <v>фото</v>
      </c>
      <c r="H2401" s="22"/>
    </row>
    <row r="2402" spans="1:8" ht="15" x14ac:dyDescent="0.2">
      <c r="A2402" s="18"/>
      <c r="B2402" s="19" t="s">
        <v>4828</v>
      </c>
      <c r="C2402" s="20" t="s">
        <v>4829</v>
      </c>
      <c r="D2402" s="2">
        <v>1.5</v>
      </c>
      <c r="E2402" s="21"/>
      <c r="F2402" s="2">
        <f t="shared" si="53"/>
        <v>0</v>
      </c>
      <c r="G2402" s="3" t="str">
        <f>HYPERLINK("http://tmmp-catalog.com.ua/katalog/20/17787/","фото")</f>
        <v>фото</v>
      </c>
      <c r="H2402" s="22"/>
    </row>
    <row r="2403" spans="1:8" ht="15" x14ac:dyDescent="0.2">
      <c r="A2403" s="18">
        <v>2000000015903</v>
      </c>
      <c r="B2403" s="19" t="s">
        <v>4830</v>
      </c>
      <c r="C2403" s="20" t="s">
        <v>4831</v>
      </c>
      <c r="D2403" s="2">
        <v>1.7</v>
      </c>
      <c r="E2403" s="21"/>
      <c r="F2403" s="2">
        <f t="shared" si="53"/>
        <v>0</v>
      </c>
      <c r="G2403" s="3" t="str">
        <f>HYPERLINK("http://tmmp-catalog.com.ua/katalog/20/13653/","фото")</f>
        <v>фото</v>
      </c>
      <c r="H2403" s="22"/>
    </row>
    <row r="2404" spans="1:8" ht="15" x14ac:dyDescent="0.2">
      <c r="A2404" s="18"/>
      <c r="B2404" s="19" t="s">
        <v>4832</v>
      </c>
      <c r="C2404" s="20" t="s">
        <v>4833</v>
      </c>
      <c r="D2404" s="2">
        <v>0.3</v>
      </c>
      <c r="E2404" s="21"/>
      <c r="F2404" s="2">
        <f t="shared" si="53"/>
        <v>0</v>
      </c>
      <c r="G2404" s="3" t="str">
        <f>HYPERLINK("http://tmmp-catalog.com.ua/katalog/20/17731/","фото")</f>
        <v>фото</v>
      </c>
      <c r="H2404" s="22"/>
    </row>
    <row r="2405" spans="1:8" ht="15" x14ac:dyDescent="0.2">
      <c r="A2405" s="18"/>
      <c r="B2405" s="19" t="s">
        <v>4834</v>
      </c>
      <c r="C2405" s="20" t="s">
        <v>4835</v>
      </c>
      <c r="D2405" s="2">
        <v>0.1</v>
      </c>
      <c r="E2405" s="21"/>
      <c r="F2405" s="2">
        <f t="shared" si="53"/>
        <v>0</v>
      </c>
      <c r="G2405" s="3" t="str">
        <f>HYPERLINK("http://tmmp-catalog.com.ua/katalog/20/17732/","фото")</f>
        <v>фото</v>
      </c>
      <c r="H2405" s="22"/>
    </row>
    <row r="2406" spans="1:8" ht="15" x14ac:dyDescent="0.2">
      <c r="A2406" s="18">
        <v>2000000015965</v>
      </c>
      <c r="B2406" s="19" t="s">
        <v>4836</v>
      </c>
      <c r="C2406" s="20" t="s">
        <v>4837</v>
      </c>
      <c r="D2406" s="2">
        <v>0.15</v>
      </c>
      <c r="E2406" s="21"/>
      <c r="F2406" s="2">
        <f t="shared" si="53"/>
        <v>0</v>
      </c>
      <c r="G2406" s="3" t="str">
        <f>HYPERLINK("http://tmmp-catalog.com.ua/katalog/20/13659/","фото")</f>
        <v>фото</v>
      </c>
      <c r="H2406" s="22"/>
    </row>
    <row r="2407" spans="1:8" ht="15" x14ac:dyDescent="0.2">
      <c r="A2407" s="18">
        <v>2000000015958</v>
      </c>
      <c r="B2407" s="19" t="s">
        <v>4838</v>
      </c>
      <c r="C2407" s="20" t="s">
        <v>4839</v>
      </c>
      <c r="D2407" s="2">
        <v>0.1</v>
      </c>
      <c r="E2407" s="21"/>
      <c r="F2407" s="2">
        <f t="shared" si="53"/>
        <v>0</v>
      </c>
      <c r="G2407" s="3" t="str">
        <f>HYPERLINK("http://tmmp-catalog.com.ua/katalog/20/13658/","фото")</f>
        <v>фото</v>
      </c>
      <c r="H2407" s="22"/>
    </row>
    <row r="2408" spans="1:8" ht="15" x14ac:dyDescent="0.2">
      <c r="A2408" s="18">
        <v>2000000015941</v>
      </c>
      <c r="B2408" s="19" t="s">
        <v>4840</v>
      </c>
      <c r="C2408" s="20" t="s">
        <v>4841</v>
      </c>
      <c r="D2408" s="2">
        <v>0.15</v>
      </c>
      <c r="E2408" s="21"/>
      <c r="F2408" s="2">
        <f t="shared" si="53"/>
        <v>0</v>
      </c>
      <c r="G2408" s="3" t="str">
        <f>HYPERLINK("http://tmmp-catalog.com.ua/katalog/20/13657/","фото")</f>
        <v>фото</v>
      </c>
      <c r="H2408" s="22"/>
    </row>
    <row r="2409" spans="1:8" ht="15" x14ac:dyDescent="0.2">
      <c r="A2409" s="18">
        <v>2000000016023</v>
      </c>
      <c r="B2409" s="19" t="s">
        <v>4842</v>
      </c>
      <c r="C2409" s="20" t="s">
        <v>4843</v>
      </c>
      <c r="D2409" s="2">
        <v>0.05</v>
      </c>
      <c r="E2409" s="21"/>
      <c r="F2409" s="2">
        <f t="shared" si="53"/>
        <v>0</v>
      </c>
      <c r="G2409" s="3" t="str">
        <f>HYPERLINK("http://tmmp-catalog.com.ua/katalog/20/13665/","фото")</f>
        <v>фото</v>
      </c>
      <c r="H2409" s="22"/>
    </row>
    <row r="2410" spans="1:8" ht="15" x14ac:dyDescent="0.2">
      <c r="A2410" s="18">
        <v>2000000016030</v>
      </c>
      <c r="B2410" s="19" t="s">
        <v>4844</v>
      </c>
      <c r="C2410" s="20" t="s">
        <v>4845</v>
      </c>
      <c r="D2410" s="2">
        <v>0.15</v>
      </c>
      <c r="E2410" s="21"/>
      <c r="F2410" s="2">
        <f t="shared" si="53"/>
        <v>0</v>
      </c>
      <c r="G2410" s="3" t="str">
        <f>HYPERLINK("http://tmmp-catalog.com.ua/katalog/20/13666/","фото")</f>
        <v>фото</v>
      </c>
      <c r="H2410" s="22"/>
    </row>
    <row r="2411" spans="1:8" ht="15" x14ac:dyDescent="0.2">
      <c r="A2411" s="18"/>
      <c r="B2411" s="19" t="s">
        <v>4846</v>
      </c>
      <c r="C2411" s="20" t="s">
        <v>4847</v>
      </c>
      <c r="D2411" s="2">
        <v>0.3</v>
      </c>
      <c r="E2411" s="21"/>
      <c r="F2411" s="2">
        <f t="shared" si="53"/>
        <v>0</v>
      </c>
      <c r="G2411" s="3" t="str">
        <f>HYPERLINK("http://tmmp-catalog.com.ua/katalog/20/17500/","фото")</f>
        <v>фото</v>
      </c>
      <c r="H2411" s="22"/>
    </row>
    <row r="2412" spans="1:8" ht="15" x14ac:dyDescent="0.2">
      <c r="A2412" s="18"/>
      <c r="B2412" s="19" t="s">
        <v>4848</v>
      </c>
      <c r="C2412" s="20" t="s">
        <v>4849</v>
      </c>
      <c r="D2412" s="2">
        <v>0.45</v>
      </c>
      <c r="E2412" s="21"/>
      <c r="F2412" s="2">
        <f t="shared" si="53"/>
        <v>0</v>
      </c>
      <c r="G2412" s="3" t="str">
        <f>HYPERLINK("http://tmmp-catalog.com.ua/katalog/20/17502/","фото")</f>
        <v>фото</v>
      </c>
      <c r="H2412" s="22"/>
    </row>
    <row r="2413" spans="1:8" ht="15" x14ac:dyDescent="0.2">
      <c r="A2413" s="18">
        <v>2000000016061</v>
      </c>
      <c r="B2413" s="19" t="s">
        <v>4850</v>
      </c>
      <c r="C2413" s="20" t="s">
        <v>4851</v>
      </c>
      <c r="D2413" s="2">
        <v>0.45</v>
      </c>
      <c r="E2413" s="21"/>
      <c r="F2413" s="2">
        <f t="shared" si="53"/>
        <v>0</v>
      </c>
      <c r="G2413" s="3" t="str">
        <f>HYPERLINK("http://tmmp-catalog.com.ua/katalog/20/13669/","фото")</f>
        <v>фото</v>
      </c>
      <c r="H2413" s="22"/>
    </row>
    <row r="2414" spans="1:8" ht="15" x14ac:dyDescent="0.2">
      <c r="A2414" s="18"/>
      <c r="B2414" s="19" t="s">
        <v>4852</v>
      </c>
      <c r="C2414" s="20" t="s">
        <v>4853</v>
      </c>
      <c r="D2414" s="2">
        <v>0.45</v>
      </c>
      <c r="E2414" s="21"/>
      <c r="F2414" s="2">
        <f t="shared" si="53"/>
        <v>0</v>
      </c>
      <c r="G2414" s="3" t="str">
        <f>HYPERLINK("http://tmmp-catalog.com.ua/katalog/20/13668/","фото")</f>
        <v>фото</v>
      </c>
      <c r="H2414" s="22"/>
    </row>
    <row r="2415" spans="1:8" ht="15" x14ac:dyDescent="0.2">
      <c r="A2415" s="18">
        <v>2000000016054</v>
      </c>
      <c r="B2415" s="19" t="s">
        <v>4854</v>
      </c>
      <c r="C2415" s="20" t="s">
        <v>4855</v>
      </c>
      <c r="D2415" s="2">
        <v>0.3</v>
      </c>
      <c r="E2415" s="21"/>
      <c r="F2415" s="2">
        <f t="shared" si="53"/>
        <v>0</v>
      </c>
      <c r="G2415" s="3" t="str">
        <f>HYPERLINK("http://tmmp-catalog.com.ua/katalog/20/13668/","фото")</f>
        <v>фото</v>
      </c>
      <c r="H2415" s="22"/>
    </row>
    <row r="2416" spans="1:8" ht="15" x14ac:dyDescent="0.2">
      <c r="A2416" s="18">
        <v>2000000016047</v>
      </c>
      <c r="B2416" s="19" t="s">
        <v>4856</v>
      </c>
      <c r="C2416" s="20" t="s">
        <v>4857</v>
      </c>
      <c r="D2416" s="2">
        <v>0.8</v>
      </c>
      <c r="E2416" s="21"/>
      <c r="F2416" s="2">
        <f t="shared" si="53"/>
        <v>0</v>
      </c>
      <c r="G2416" s="3" t="str">
        <f>HYPERLINK("http://tmmp-catalog.com.ua/katalog/20/13667/","фото")</f>
        <v>фото</v>
      </c>
      <c r="H2416" s="22"/>
    </row>
    <row r="2417" spans="1:8" ht="15" x14ac:dyDescent="0.2">
      <c r="A2417" s="18"/>
      <c r="B2417" s="19" t="s">
        <v>4858</v>
      </c>
      <c r="C2417" s="20" t="s">
        <v>4859</v>
      </c>
      <c r="D2417" s="2">
        <v>0.2</v>
      </c>
      <c r="E2417" s="21"/>
      <c r="F2417" s="2">
        <f t="shared" si="53"/>
        <v>0</v>
      </c>
      <c r="G2417" s="3" t="str">
        <f>HYPERLINK("http://tmmp-catalog.com.ua/katalog/20/17733/","фото")</f>
        <v>фото</v>
      </c>
      <c r="H2417" s="22"/>
    </row>
    <row r="2418" spans="1:8" ht="15" x14ac:dyDescent="0.2">
      <c r="A2418" s="18">
        <v>2000000016085</v>
      </c>
      <c r="B2418" s="19" t="s">
        <v>4860</v>
      </c>
      <c r="C2418" s="20" t="s">
        <v>4861</v>
      </c>
      <c r="D2418" s="2">
        <v>0.5</v>
      </c>
      <c r="E2418" s="21"/>
      <c r="F2418" s="2">
        <f t="shared" si="53"/>
        <v>0</v>
      </c>
      <c r="G2418" s="3" t="str">
        <f>HYPERLINK("http://tmmp-catalog.com.ua/katalog/20/13671/","фото")</f>
        <v>фото</v>
      </c>
      <c r="H2418" s="22"/>
    </row>
    <row r="2419" spans="1:8" ht="15" x14ac:dyDescent="0.2">
      <c r="A2419" s="18"/>
      <c r="B2419" s="19" t="s">
        <v>4862</v>
      </c>
      <c r="C2419" s="20" t="s">
        <v>4863</v>
      </c>
      <c r="D2419" s="2">
        <v>0.75</v>
      </c>
      <c r="E2419" s="21"/>
      <c r="F2419" s="2">
        <f t="shared" si="53"/>
        <v>0</v>
      </c>
      <c r="G2419" s="3" t="str">
        <f>HYPERLINK("http://tmmp-catalog.com.ua/katalog/20/16372/","фото")</f>
        <v>фото</v>
      </c>
      <c r="H2419" s="22"/>
    </row>
    <row r="2420" spans="1:8" ht="15" x14ac:dyDescent="0.2">
      <c r="A2420" s="18">
        <v>2000000016122</v>
      </c>
      <c r="B2420" s="19" t="s">
        <v>4864</v>
      </c>
      <c r="C2420" s="20" t="s">
        <v>4865</v>
      </c>
      <c r="D2420" s="2">
        <v>4.5</v>
      </c>
      <c r="E2420" s="21"/>
      <c r="F2420" s="2">
        <f t="shared" si="53"/>
        <v>0</v>
      </c>
      <c r="G2420" s="3" t="str">
        <f>HYPERLINK("http://tmmp-catalog.com.ua/katalog/20/13675/","фото")</f>
        <v>фото</v>
      </c>
      <c r="H2420" s="22"/>
    </row>
    <row r="2421" spans="1:8" ht="15" x14ac:dyDescent="0.2">
      <c r="A2421" s="18">
        <v>2000000016092</v>
      </c>
      <c r="B2421" s="19" t="s">
        <v>4866</v>
      </c>
      <c r="C2421" s="20" t="s">
        <v>4867</v>
      </c>
      <c r="D2421" s="2">
        <v>1.25</v>
      </c>
      <c r="E2421" s="21"/>
      <c r="F2421" s="2">
        <f t="shared" si="53"/>
        <v>0</v>
      </c>
      <c r="G2421" s="3" t="str">
        <f>HYPERLINK("http://tmmp-catalog.com.ua/katalog/20/13672/","фото")</f>
        <v>фото</v>
      </c>
      <c r="H2421" s="22"/>
    </row>
    <row r="2422" spans="1:8" ht="15" x14ac:dyDescent="0.2">
      <c r="A2422" s="18">
        <v>2000000016153</v>
      </c>
      <c r="B2422" s="19" t="s">
        <v>4868</v>
      </c>
      <c r="C2422" s="20" t="s">
        <v>4869</v>
      </c>
      <c r="D2422" s="2">
        <v>0.45</v>
      </c>
      <c r="E2422" s="21"/>
      <c r="F2422" s="2">
        <f t="shared" si="53"/>
        <v>0</v>
      </c>
      <c r="G2422" s="3" t="str">
        <f>HYPERLINK("http://tmmp-catalog.com.ua/katalog/20/13678/","фото")</f>
        <v>фото</v>
      </c>
      <c r="H2422" s="22"/>
    </row>
    <row r="2423" spans="1:8" ht="15" x14ac:dyDescent="0.2">
      <c r="A2423" s="18"/>
      <c r="B2423" s="19" t="s">
        <v>4870</v>
      </c>
      <c r="C2423" s="20" t="s">
        <v>4871</v>
      </c>
      <c r="D2423" s="2">
        <v>0.15</v>
      </c>
      <c r="E2423" s="21"/>
      <c r="F2423" s="2">
        <f t="shared" si="53"/>
        <v>0</v>
      </c>
      <c r="G2423" s="3" t="str">
        <f>HYPERLINK("http://tmmp-catalog.com.ua/katalog/20/16362/","фото")</f>
        <v>фото</v>
      </c>
      <c r="H2423" s="22"/>
    </row>
    <row r="2424" spans="1:8" ht="15" x14ac:dyDescent="0.2">
      <c r="A2424" s="18">
        <v>2000000016207</v>
      </c>
      <c r="B2424" s="19" t="s">
        <v>4872</v>
      </c>
      <c r="C2424" s="20" t="s">
        <v>4873</v>
      </c>
      <c r="D2424" s="2">
        <v>0.15</v>
      </c>
      <c r="E2424" s="21"/>
      <c r="F2424" s="2">
        <f t="shared" si="53"/>
        <v>0</v>
      </c>
      <c r="G2424" s="3" t="str">
        <f>HYPERLINK("http://tmmp-catalog.com.ua/katalog/20/13683/","фото")</f>
        <v>фото</v>
      </c>
      <c r="H2424" s="22"/>
    </row>
    <row r="2425" spans="1:8" ht="15" x14ac:dyDescent="0.2">
      <c r="A2425" s="18">
        <v>2000000016221</v>
      </c>
      <c r="B2425" s="19" t="s">
        <v>4874</v>
      </c>
      <c r="C2425" s="20" t="s">
        <v>4875</v>
      </c>
      <c r="D2425" s="2">
        <v>0.25</v>
      </c>
      <c r="E2425" s="21"/>
      <c r="F2425" s="2">
        <f t="shared" si="53"/>
        <v>0</v>
      </c>
      <c r="G2425" s="3" t="str">
        <f>HYPERLINK("http://tmmp-catalog.com.ua/katalog/20/13685/","фото")</f>
        <v>фото</v>
      </c>
      <c r="H2425" s="22"/>
    </row>
    <row r="2426" spans="1:8" ht="15" x14ac:dyDescent="0.2">
      <c r="A2426" s="18">
        <v>2000000016214</v>
      </c>
      <c r="B2426" s="19" t="s">
        <v>4876</v>
      </c>
      <c r="C2426" s="20" t="s">
        <v>4877</v>
      </c>
      <c r="D2426" s="2">
        <v>0.2</v>
      </c>
      <c r="E2426" s="21"/>
      <c r="F2426" s="2">
        <f t="shared" si="53"/>
        <v>0</v>
      </c>
      <c r="G2426" s="3" t="str">
        <f>HYPERLINK("http://tmmp-catalog.com.ua/katalog/20/13684/","фото")</f>
        <v>фото</v>
      </c>
      <c r="H2426" s="22"/>
    </row>
    <row r="2427" spans="1:8" ht="15" x14ac:dyDescent="0.2">
      <c r="A2427" s="18">
        <v>2000000016252</v>
      </c>
      <c r="B2427" s="19" t="s">
        <v>4878</v>
      </c>
      <c r="C2427" s="20" t="s">
        <v>4879</v>
      </c>
      <c r="D2427" s="2">
        <v>1.45</v>
      </c>
      <c r="E2427" s="21"/>
      <c r="F2427" s="2">
        <f t="shared" si="53"/>
        <v>0</v>
      </c>
      <c r="G2427" s="3" t="str">
        <f>HYPERLINK("http://tmmp-catalog.com.ua/katalog/20/13688/","фото")</f>
        <v>фото</v>
      </c>
      <c r="H2427" s="22"/>
    </row>
    <row r="2428" spans="1:8" ht="15" x14ac:dyDescent="0.2">
      <c r="A2428" s="18">
        <v>2000000016276</v>
      </c>
      <c r="B2428" s="19" t="s">
        <v>4880</v>
      </c>
      <c r="C2428" s="20" t="s">
        <v>4881</v>
      </c>
      <c r="D2428" s="2">
        <v>2.8</v>
      </c>
      <c r="E2428" s="21"/>
      <c r="F2428" s="2">
        <f t="shared" si="53"/>
        <v>0</v>
      </c>
      <c r="G2428" s="3" t="str">
        <f>HYPERLINK("http://tmmp-catalog.com.ua/katalog/20/13690/","фото")</f>
        <v>фото</v>
      </c>
      <c r="H2428" s="22"/>
    </row>
    <row r="2429" spans="1:8" ht="15" x14ac:dyDescent="0.2">
      <c r="A2429" s="18">
        <v>2000000037271</v>
      </c>
      <c r="B2429" s="19" t="s">
        <v>4882</v>
      </c>
      <c r="C2429" s="20" t="s">
        <v>4883</v>
      </c>
      <c r="D2429" s="2">
        <v>6</v>
      </c>
      <c r="E2429" s="21"/>
      <c r="F2429" s="2">
        <f t="shared" si="53"/>
        <v>0</v>
      </c>
      <c r="G2429" s="3" t="str">
        <f>HYPERLINK("http://tmmp-catalog.com.ua/katalog/20/16374/","фото")</f>
        <v>фото</v>
      </c>
      <c r="H2429" s="22"/>
    </row>
    <row r="2430" spans="1:8" ht="15" x14ac:dyDescent="0.2">
      <c r="A2430" s="18">
        <v>2000000016504</v>
      </c>
      <c r="B2430" s="19" t="s">
        <v>4884</v>
      </c>
      <c r="C2430" s="20" t="s">
        <v>4885</v>
      </c>
      <c r="D2430" s="2">
        <v>1.25</v>
      </c>
      <c r="E2430" s="21"/>
      <c r="F2430" s="2">
        <f t="shared" si="53"/>
        <v>0</v>
      </c>
      <c r="G2430" s="3" t="str">
        <f>HYPERLINK("http://tmmp-catalog.com.ua/katalog/20/16358/","фото")</f>
        <v>фото</v>
      </c>
      <c r="H2430" s="22"/>
    </row>
    <row r="2431" spans="1:8" ht="15" x14ac:dyDescent="0.2">
      <c r="A2431" s="18"/>
      <c r="B2431" s="19" t="s">
        <v>4886</v>
      </c>
      <c r="C2431" s="20" t="s">
        <v>4887</v>
      </c>
      <c r="D2431" s="2">
        <v>4</v>
      </c>
      <c r="E2431" s="21"/>
      <c r="F2431" s="2">
        <f t="shared" si="53"/>
        <v>0</v>
      </c>
      <c r="G2431" s="3" t="str">
        <f>HYPERLINK("http://tmmp-catalog.com.ua/katalog/20/17618/","фото")</f>
        <v>фото</v>
      </c>
      <c r="H2431" s="22"/>
    </row>
    <row r="2432" spans="1:8" ht="15" x14ac:dyDescent="0.2">
      <c r="A2432" s="18"/>
      <c r="B2432" s="19" t="s">
        <v>4888</v>
      </c>
      <c r="C2432" s="20" t="s">
        <v>4889</v>
      </c>
      <c r="D2432" s="2">
        <v>1.8</v>
      </c>
      <c r="E2432" s="21"/>
      <c r="F2432" s="2">
        <f t="shared" si="53"/>
        <v>0</v>
      </c>
      <c r="G2432" s="3" t="str">
        <f>HYPERLINK("http://tmmp-catalog.com.ua/katalog/20/17559/","фото")</f>
        <v>фото</v>
      </c>
      <c r="H2432" s="22"/>
    </row>
    <row r="2433" spans="1:8" ht="15" x14ac:dyDescent="0.2">
      <c r="A2433" s="18">
        <v>2000000016245</v>
      </c>
      <c r="B2433" s="19" t="s">
        <v>4890</v>
      </c>
      <c r="C2433" s="20" t="s">
        <v>4891</v>
      </c>
      <c r="D2433" s="2">
        <v>4</v>
      </c>
      <c r="E2433" s="21"/>
      <c r="F2433" s="2">
        <f t="shared" ref="F2433:F2466" si="54">cena*zakaz</f>
        <v>0</v>
      </c>
      <c r="G2433" s="3" t="str">
        <f>HYPERLINK("http://tmmp-catalog.com.ua/katalog/20/13687/","фото")</f>
        <v>фото</v>
      </c>
      <c r="H2433" s="22"/>
    </row>
    <row r="2434" spans="1:8" ht="15" x14ac:dyDescent="0.2">
      <c r="A2434" s="18"/>
      <c r="B2434" s="19" t="s">
        <v>4892</v>
      </c>
      <c r="C2434" s="20" t="s">
        <v>4893</v>
      </c>
      <c r="D2434" s="2">
        <v>1.25</v>
      </c>
      <c r="E2434" s="21"/>
      <c r="F2434" s="2">
        <f t="shared" si="54"/>
        <v>0</v>
      </c>
      <c r="G2434" s="3" t="str">
        <f>HYPERLINK("http://tmmp-catalog.com.ua/katalog/20/16378/","фото")</f>
        <v>фото</v>
      </c>
      <c r="H2434" s="22"/>
    </row>
    <row r="2435" spans="1:8" ht="15" x14ac:dyDescent="0.2">
      <c r="A2435" s="18"/>
      <c r="B2435" s="19" t="s">
        <v>4894</v>
      </c>
      <c r="C2435" s="20" t="s">
        <v>4895</v>
      </c>
      <c r="D2435" s="2">
        <v>0.1</v>
      </c>
      <c r="E2435" s="21"/>
      <c r="F2435" s="2">
        <f t="shared" si="54"/>
        <v>0</v>
      </c>
      <c r="G2435" s="3" t="str">
        <f>HYPERLINK("http://tmmp-catalog.com.ua/katalog/20/17734/","фото")</f>
        <v>фото</v>
      </c>
      <c r="H2435" s="22"/>
    </row>
    <row r="2436" spans="1:8" ht="15" x14ac:dyDescent="0.2">
      <c r="A2436" s="18"/>
      <c r="B2436" s="19" t="s">
        <v>4896</v>
      </c>
      <c r="C2436" s="20" t="s">
        <v>4897</v>
      </c>
      <c r="D2436" s="2">
        <v>3.6</v>
      </c>
      <c r="E2436" s="21"/>
      <c r="F2436" s="2">
        <f t="shared" si="54"/>
        <v>0</v>
      </c>
      <c r="G2436" s="3" t="str">
        <f>HYPERLINK("http://tmmp-catalog.com.ua/katalog/20/17498/","фото")</f>
        <v>фото</v>
      </c>
      <c r="H2436" s="22"/>
    </row>
    <row r="2437" spans="1:8" ht="15" x14ac:dyDescent="0.2">
      <c r="A2437" s="18">
        <v>2000000016160</v>
      </c>
      <c r="B2437" s="19" t="s">
        <v>4898</v>
      </c>
      <c r="C2437" s="20" t="s">
        <v>4899</v>
      </c>
      <c r="D2437" s="2">
        <v>2.5</v>
      </c>
      <c r="E2437" s="21"/>
      <c r="F2437" s="2">
        <f t="shared" si="54"/>
        <v>0</v>
      </c>
      <c r="G2437" s="3" t="str">
        <f>HYPERLINK("http://tmmp-catalog.com.ua/katalog/20/13679/","фото")</f>
        <v>фото</v>
      </c>
      <c r="H2437" s="22"/>
    </row>
    <row r="2438" spans="1:8" ht="15" x14ac:dyDescent="0.2">
      <c r="A2438" s="18"/>
      <c r="B2438" s="19" t="s">
        <v>4900</v>
      </c>
      <c r="C2438" s="20" t="s">
        <v>4901</v>
      </c>
      <c r="D2438" s="2">
        <v>5.7</v>
      </c>
      <c r="E2438" s="21"/>
      <c r="F2438" s="2">
        <f t="shared" si="54"/>
        <v>0</v>
      </c>
      <c r="G2438" s="3" t="str">
        <f>HYPERLINK("http://tmmp-catalog.com.ua/katalog/20/13713/","фото")</f>
        <v>фото</v>
      </c>
      <c r="H2438" s="22"/>
    </row>
    <row r="2439" spans="1:8" ht="15" x14ac:dyDescent="0.2">
      <c r="A2439" s="18">
        <v>2000000015590</v>
      </c>
      <c r="B2439" s="19" t="s">
        <v>4902</v>
      </c>
      <c r="C2439" s="20" t="s">
        <v>4903</v>
      </c>
      <c r="D2439" s="2">
        <v>0.3</v>
      </c>
      <c r="E2439" s="21"/>
      <c r="F2439" s="2">
        <f t="shared" si="54"/>
        <v>0</v>
      </c>
      <c r="G2439" s="3" t="str">
        <f>HYPERLINK("http://tmmp-catalog.com.ua/katalog/20/13622/","фото")</f>
        <v>фото</v>
      </c>
      <c r="H2439" s="22"/>
    </row>
    <row r="2440" spans="1:8" ht="15" x14ac:dyDescent="0.2">
      <c r="A2440" s="18"/>
      <c r="B2440" s="19" t="s">
        <v>4904</v>
      </c>
      <c r="C2440" s="20" t="s">
        <v>4905</v>
      </c>
      <c r="D2440" s="2">
        <v>0.15</v>
      </c>
      <c r="E2440" s="21"/>
      <c r="F2440" s="2">
        <f t="shared" si="54"/>
        <v>0</v>
      </c>
      <c r="G2440" s="3" t="str">
        <f>HYPERLINK("http://tmmp-catalog.com.ua/katalog/20/16359/","фото")</f>
        <v>фото</v>
      </c>
      <c r="H2440" s="22"/>
    </row>
    <row r="2441" spans="1:8" ht="15" x14ac:dyDescent="0.2">
      <c r="A2441" s="18"/>
      <c r="B2441" s="19" t="s">
        <v>4906</v>
      </c>
      <c r="C2441" s="20" t="s">
        <v>4907</v>
      </c>
      <c r="D2441" s="2">
        <v>0.15</v>
      </c>
      <c r="E2441" s="21"/>
      <c r="F2441" s="2">
        <f t="shared" si="54"/>
        <v>0</v>
      </c>
      <c r="G2441" s="3" t="str">
        <f>HYPERLINK("http://tmmp-catalog.com.ua/katalog/37/18782/","фото")</f>
        <v>фото</v>
      </c>
      <c r="H2441" s="22"/>
    </row>
    <row r="2442" spans="1:8" ht="15" x14ac:dyDescent="0.2">
      <c r="A2442" s="18"/>
      <c r="B2442" s="19" t="s">
        <v>4908</v>
      </c>
      <c r="C2442" s="20" t="s">
        <v>4909</v>
      </c>
      <c r="D2442" s="2">
        <v>0.1</v>
      </c>
      <c r="E2442" s="21"/>
      <c r="F2442" s="2">
        <f t="shared" si="54"/>
        <v>0</v>
      </c>
      <c r="G2442" s="3" t="str">
        <f>HYPERLINK("http://tmmp-catalog.com.ua/katalog/20/17788/","фото")</f>
        <v>фото</v>
      </c>
      <c r="H2442" s="22"/>
    </row>
    <row r="2443" spans="1:8" ht="15" x14ac:dyDescent="0.2">
      <c r="A2443" s="18"/>
      <c r="B2443" s="19" t="s">
        <v>4910</v>
      </c>
      <c r="C2443" s="20" t="s">
        <v>4911</v>
      </c>
      <c r="D2443" s="2">
        <v>0.3</v>
      </c>
      <c r="E2443" s="21"/>
      <c r="F2443" s="2">
        <f t="shared" si="54"/>
        <v>0</v>
      </c>
      <c r="G2443" s="3" t="str">
        <f>HYPERLINK("http://tmmp-catalog.com.ua/katalog/37/18521/","фото")</f>
        <v>фото</v>
      </c>
      <c r="H2443" s="22"/>
    </row>
    <row r="2444" spans="1:8" ht="15" x14ac:dyDescent="0.2">
      <c r="A2444" s="18"/>
      <c r="B2444" s="19" t="s">
        <v>4912</v>
      </c>
      <c r="C2444" s="20" t="s">
        <v>4913</v>
      </c>
      <c r="D2444" s="2">
        <v>0.15</v>
      </c>
      <c r="E2444" s="21"/>
      <c r="F2444" s="2">
        <f t="shared" si="54"/>
        <v>0</v>
      </c>
      <c r="G2444" s="3" t="str">
        <f>HYPERLINK("http://tmmp-catalog.com.ua/katalog/20/17503/","фото")</f>
        <v>фото</v>
      </c>
      <c r="H2444" s="22"/>
    </row>
    <row r="2445" spans="1:8" ht="15" x14ac:dyDescent="0.2">
      <c r="A2445" s="18"/>
      <c r="B2445" s="19" t="s">
        <v>4914</v>
      </c>
      <c r="C2445" s="20" t="s">
        <v>4915</v>
      </c>
      <c r="D2445" s="2">
        <v>0.2</v>
      </c>
      <c r="E2445" s="21"/>
      <c r="F2445" s="2">
        <f t="shared" si="54"/>
        <v>0</v>
      </c>
      <c r="G2445" s="3" t="str">
        <f>HYPERLINK("http://tmmp-catalog.com.ua/katalog/20/16373/","фото")</f>
        <v>фото</v>
      </c>
      <c r="H2445" s="22"/>
    </row>
    <row r="2446" spans="1:8" ht="15" x14ac:dyDescent="0.2">
      <c r="A2446" s="18">
        <v>2000000016375</v>
      </c>
      <c r="B2446" s="19" t="s">
        <v>4916</v>
      </c>
      <c r="C2446" s="20" t="s">
        <v>4917</v>
      </c>
      <c r="D2446" s="2">
        <v>0.4</v>
      </c>
      <c r="E2446" s="21"/>
      <c r="F2446" s="2">
        <f t="shared" si="54"/>
        <v>0</v>
      </c>
      <c r="G2446" s="3" t="str">
        <f>HYPERLINK("http://tmmp-catalog.com.ua/katalog/20/13700/","фото")</f>
        <v>фото</v>
      </c>
      <c r="H2446" s="22"/>
    </row>
    <row r="2447" spans="1:8" ht="15" x14ac:dyDescent="0.2">
      <c r="A2447" s="18">
        <v>2000000016399</v>
      </c>
      <c r="B2447" s="19" t="s">
        <v>4918</v>
      </c>
      <c r="C2447" s="20" t="s">
        <v>4919</v>
      </c>
      <c r="D2447" s="2">
        <v>0.25</v>
      </c>
      <c r="E2447" s="21"/>
      <c r="F2447" s="2">
        <f t="shared" si="54"/>
        <v>0</v>
      </c>
      <c r="G2447" s="3" t="str">
        <f>HYPERLINK("http://tmmp-catalog.com.ua/katalog/20/13702/","фото")</f>
        <v>фото</v>
      </c>
      <c r="H2447" s="22"/>
    </row>
    <row r="2448" spans="1:8" ht="15" x14ac:dyDescent="0.2">
      <c r="A2448" s="18">
        <v>2000000016405</v>
      </c>
      <c r="B2448" s="19" t="s">
        <v>4920</v>
      </c>
      <c r="C2448" s="20" t="s">
        <v>4921</v>
      </c>
      <c r="D2448" s="2">
        <v>0.2</v>
      </c>
      <c r="E2448" s="21"/>
      <c r="F2448" s="2">
        <f t="shared" si="54"/>
        <v>0</v>
      </c>
      <c r="G2448" s="3" t="str">
        <f>HYPERLINK("http://tmmp-catalog.com.ua/katalog/20/13703/","фото")</f>
        <v>фото</v>
      </c>
      <c r="H2448" s="22"/>
    </row>
    <row r="2449" spans="1:8" ht="15" x14ac:dyDescent="0.2">
      <c r="A2449" s="18">
        <v>2000000035901</v>
      </c>
      <c r="B2449" s="19" t="s">
        <v>4922</v>
      </c>
      <c r="C2449" s="20" t="s">
        <v>4923</v>
      </c>
      <c r="D2449" s="2">
        <v>0.45</v>
      </c>
      <c r="E2449" s="21"/>
      <c r="F2449" s="2">
        <f t="shared" si="54"/>
        <v>0</v>
      </c>
      <c r="G2449" s="3" t="str">
        <f>HYPERLINK("http://tmmp-catalog.com.ua/katalog/20/16366/","фото")</f>
        <v>фото</v>
      </c>
      <c r="H2449" s="22"/>
    </row>
    <row r="2450" spans="1:8" ht="15" x14ac:dyDescent="0.2">
      <c r="A2450" s="18">
        <v>2000000035918</v>
      </c>
      <c r="B2450" s="19" t="s">
        <v>4924</v>
      </c>
      <c r="C2450" s="20" t="s">
        <v>4925</v>
      </c>
      <c r="D2450" s="2">
        <v>0.55000000000000004</v>
      </c>
      <c r="E2450" s="21"/>
      <c r="F2450" s="2">
        <f t="shared" si="54"/>
        <v>0</v>
      </c>
      <c r="G2450" s="3" t="str">
        <f>HYPERLINK("http://tmmp-catalog.com.ua/katalog/20/16367/","фото")</f>
        <v>фото</v>
      </c>
      <c r="H2450" s="22"/>
    </row>
    <row r="2451" spans="1:8" ht="15" x14ac:dyDescent="0.2">
      <c r="A2451" s="18">
        <v>2000000037530</v>
      </c>
      <c r="B2451" s="19" t="s">
        <v>4926</v>
      </c>
      <c r="C2451" s="20" t="s">
        <v>4927</v>
      </c>
      <c r="D2451" s="2">
        <v>0.15</v>
      </c>
      <c r="E2451" s="21"/>
      <c r="F2451" s="2">
        <f t="shared" si="54"/>
        <v>0</v>
      </c>
      <c r="G2451" s="3" t="str">
        <f>HYPERLINK("http://tmmp-catalog.com.ua/katalog/20/17088/","фото")</f>
        <v>фото</v>
      </c>
      <c r="H2451" s="22"/>
    </row>
    <row r="2452" spans="1:8" ht="15" x14ac:dyDescent="0.2">
      <c r="A2452" s="18"/>
      <c r="B2452" s="19" t="s">
        <v>4928</v>
      </c>
      <c r="C2452" s="20" t="s">
        <v>4929</v>
      </c>
      <c r="D2452" s="2">
        <v>0.2</v>
      </c>
      <c r="E2452" s="21"/>
      <c r="F2452" s="2">
        <f t="shared" si="54"/>
        <v>0</v>
      </c>
      <c r="G2452" s="3" t="str">
        <f>HYPERLINK("http://tmmp-catalog.com.ua/katalog/20/18561/","фото")</f>
        <v>фото</v>
      </c>
      <c r="H2452" s="22"/>
    </row>
    <row r="2453" spans="1:8" ht="15" x14ac:dyDescent="0.2">
      <c r="A2453" s="18"/>
      <c r="B2453" s="19" t="s">
        <v>4930</v>
      </c>
      <c r="C2453" s="20" t="s">
        <v>4931</v>
      </c>
      <c r="D2453" s="2">
        <v>6</v>
      </c>
      <c r="E2453" s="21"/>
      <c r="F2453" s="2">
        <f t="shared" si="54"/>
        <v>0</v>
      </c>
      <c r="G2453" s="3" t="str">
        <f>HYPERLINK("http://tmmp-catalog.com.ua/katalog/20/18137/","фото")</f>
        <v>фото</v>
      </c>
      <c r="H2453" s="22"/>
    </row>
    <row r="2454" spans="1:8" ht="15" x14ac:dyDescent="0.2">
      <c r="A2454" s="18">
        <v>2000000016443</v>
      </c>
      <c r="B2454" s="19" t="s">
        <v>4932</v>
      </c>
      <c r="C2454" s="20" t="s">
        <v>4933</v>
      </c>
      <c r="D2454" s="2">
        <v>4.9000000000000004</v>
      </c>
      <c r="E2454" s="21"/>
      <c r="F2454" s="2">
        <f t="shared" si="54"/>
        <v>0</v>
      </c>
      <c r="G2454" s="3" t="str">
        <f>HYPERLINK("http://tmmp-catalog.com.ua/katalog/20/13707/","фото")</f>
        <v>фото</v>
      </c>
      <c r="H2454" s="22"/>
    </row>
    <row r="2455" spans="1:8" ht="15" x14ac:dyDescent="0.2">
      <c r="A2455" s="18"/>
      <c r="B2455" s="19" t="s">
        <v>4934</v>
      </c>
      <c r="C2455" s="20" t="s">
        <v>4935</v>
      </c>
      <c r="D2455" s="2">
        <v>9</v>
      </c>
      <c r="E2455" s="21"/>
      <c r="F2455" s="2">
        <f t="shared" si="54"/>
        <v>0</v>
      </c>
      <c r="G2455" s="3" t="str">
        <f>HYPERLINK("http://tmmp-catalog.com.ua/katalog/20/18841/","фото")</f>
        <v>фото</v>
      </c>
      <c r="H2455" s="22"/>
    </row>
    <row r="2456" spans="1:8" ht="15" x14ac:dyDescent="0.2">
      <c r="A2456" s="18"/>
      <c r="B2456" s="19" t="s">
        <v>4936</v>
      </c>
      <c r="C2456" s="20" t="s">
        <v>4937</v>
      </c>
      <c r="D2456" s="2">
        <v>7.25</v>
      </c>
      <c r="E2456" s="21"/>
      <c r="F2456" s="2">
        <f t="shared" si="54"/>
        <v>0</v>
      </c>
      <c r="G2456" s="3"/>
      <c r="H2456" s="22"/>
    </row>
    <row r="2457" spans="1:8" ht="15" x14ac:dyDescent="0.2">
      <c r="A2457" s="18">
        <v>2000000016450</v>
      </c>
      <c r="B2457" s="19" t="s">
        <v>4938</v>
      </c>
      <c r="C2457" s="20" t="s">
        <v>4939</v>
      </c>
      <c r="D2457" s="2">
        <v>5.5</v>
      </c>
      <c r="E2457" s="21"/>
      <c r="F2457" s="2">
        <f t="shared" si="54"/>
        <v>0</v>
      </c>
      <c r="G2457" s="3" t="str">
        <f>HYPERLINK("http://tmmp-catalog.com.ua/katalog/20/13708/","фото")</f>
        <v>фото</v>
      </c>
      <c r="H2457" s="22"/>
    </row>
    <row r="2458" spans="1:8" ht="15" x14ac:dyDescent="0.2">
      <c r="A2458" s="18"/>
      <c r="B2458" s="19" t="s">
        <v>4940</v>
      </c>
      <c r="C2458" s="20" t="s">
        <v>4941</v>
      </c>
      <c r="D2458" s="2">
        <v>7.25</v>
      </c>
      <c r="E2458" s="21"/>
      <c r="F2458" s="2">
        <f t="shared" si="54"/>
        <v>0</v>
      </c>
      <c r="G2458" s="3"/>
      <c r="H2458" s="22"/>
    </row>
    <row r="2459" spans="1:8" ht="15" x14ac:dyDescent="0.2">
      <c r="A2459" s="18"/>
      <c r="B2459" s="19" t="s">
        <v>4942</v>
      </c>
      <c r="C2459" s="20" t="s">
        <v>4943</v>
      </c>
      <c r="D2459" s="2">
        <v>8.5</v>
      </c>
      <c r="E2459" s="21"/>
      <c r="F2459" s="2">
        <f t="shared" si="54"/>
        <v>0</v>
      </c>
      <c r="G2459" s="3"/>
      <c r="H2459" s="22"/>
    </row>
    <row r="2460" spans="1:8" ht="15" x14ac:dyDescent="0.2">
      <c r="A2460" s="18">
        <v>2000000016467</v>
      </c>
      <c r="B2460" s="19" t="s">
        <v>4944</v>
      </c>
      <c r="C2460" s="20" t="s">
        <v>4945</v>
      </c>
      <c r="D2460" s="2">
        <v>6.5</v>
      </c>
      <c r="E2460" s="21"/>
      <c r="F2460" s="2">
        <f t="shared" si="54"/>
        <v>0</v>
      </c>
      <c r="G2460" s="3" t="str">
        <f>HYPERLINK("http://tmmp-catalog.com.ua/katalog/20/13709/","фото")</f>
        <v>фото</v>
      </c>
      <c r="H2460" s="22"/>
    </row>
    <row r="2461" spans="1:8" ht="15" x14ac:dyDescent="0.2">
      <c r="A2461" s="18"/>
      <c r="B2461" s="19" t="s">
        <v>4946</v>
      </c>
      <c r="C2461" s="20" t="s">
        <v>4947</v>
      </c>
      <c r="D2461" s="2">
        <v>8</v>
      </c>
      <c r="E2461" s="21"/>
      <c r="F2461" s="2">
        <f t="shared" si="54"/>
        <v>0</v>
      </c>
      <c r="G2461" s="3" t="str">
        <f>HYPERLINK("http://tmmp-catalog.com.ua/katalog/20/18154/","фото")</f>
        <v>фото</v>
      </c>
      <c r="H2461" s="22"/>
    </row>
    <row r="2462" spans="1:8" ht="15" x14ac:dyDescent="0.2">
      <c r="A2462" s="18">
        <v>2000000016481</v>
      </c>
      <c r="B2462" s="19" t="s">
        <v>4948</v>
      </c>
      <c r="C2462" s="20" t="s">
        <v>4949</v>
      </c>
      <c r="D2462" s="2">
        <v>0.5</v>
      </c>
      <c r="E2462" s="21"/>
      <c r="F2462" s="2">
        <f t="shared" si="54"/>
        <v>0</v>
      </c>
      <c r="G2462" s="3" t="str">
        <f>HYPERLINK("http://tmmp-catalog.com.ua/katalog/20/13711/","фото")</f>
        <v>фото</v>
      </c>
      <c r="H2462" s="22"/>
    </row>
    <row r="2463" spans="1:8" ht="15" x14ac:dyDescent="0.2">
      <c r="A2463" s="18"/>
      <c r="B2463" s="19" t="s">
        <v>4950</v>
      </c>
      <c r="C2463" s="20" t="s">
        <v>4951</v>
      </c>
      <c r="D2463" s="2">
        <v>0.45</v>
      </c>
      <c r="E2463" s="21"/>
      <c r="F2463" s="2">
        <f t="shared" si="54"/>
        <v>0</v>
      </c>
      <c r="G2463" s="3" t="str">
        <f>HYPERLINK("http://tmmp-catalog.com.ua/katalog/37/18552/","фото")</f>
        <v>фото</v>
      </c>
      <c r="H2463" s="22"/>
    </row>
    <row r="2464" spans="1:8" ht="15" x14ac:dyDescent="0.2">
      <c r="A2464" s="18">
        <v>2000000016474</v>
      </c>
      <c r="B2464" s="19" t="s">
        <v>4952</v>
      </c>
      <c r="C2464" s="20" t="s">
        <v>4953</v>
      </c>
      <c r="D2464" s="2">
        <v>0.6</v>
      </c>
      <c r="E2464" s="21"/>
      <c r="F2464" s="2">
        <f t="shared" si="54"/>
        <v>0</v>
      </c>
      <c r="G2464" s="3" t="str">
        <f>HYPERLINK("http://tmmp-catalog.com.ua/katalog/20/13710/","фото")</f>
        <v>фото</v>
      </c>
      <c r="H2464" s="22"/>
    </row>
    <row r="2465" spans="1:8" ht="15" x14ac:dyDescent="0.2">
      <c r="A2465" s="18"/>
      <c r="B2465" s="19" t="s">
        <v>4954</v>
      </c>
      <c r="C2465" s="20" t="s">
        <v>4955</v>
      </c>
      <c r="D2465" s="2">
        <v>0.15</v>
      </c>
      <c r="E2465" s="21"/>
      <c r="F2465" s="2">
        <f t="shared" si="54"/>
        <v>0</v>
      </c>
      <c r="G2465" s="3" t="str">
        <f>HYPERLINK("http://tmmp-catalog.com.ua/katalog/20/18269/","фото")</f>
        <v>фото</v>
      </c>
      <c r="H2465" s="22"/>
    </row>
    <row r="2466" spans="1:8" ht="15" x14ac:dyDescent="0.2">
      <c r="A2466" s="18">
        <v>2000000016498</v>
      </c>
      <c r="B2466" s="19" t="s">
        <v>4956</v>
      </c>
      <c r="C2466" s="20" t="s">
        <v>4957</v>
      </c>
      <c r="D2466" s="2">
        <v>0.1</v>
      </c>
      <c r="E2466" s="21"/>
      <c r="F2466" s="2">
        <f t="shared" si="54"/>
        <v>0</v>
      </c>
      <c r="G2466" s="3" t="str">
        <f>HYPERLINK("http://tmmp-catalog.com.ua/katalog/20/13712/","фото")</f>
        <v>фото</v>
      </c>
      <c r="H2466" s="22"/>
    </row>
    <row r="2467" spans="1:8" ht="23.25" x14ac:dyDescent="0.2">
      <c r="A2467" s="18"/>
      <c r="B2467" s="51"/>
      <c r="C2467" s="56" t="s">
        <v>7</v>
      </c>
      <c r="D2467" s="52"/>
      <c r="E2467" s="53"/>
      <c r="F2467" s="52"/>
      <c r="G2467" s="54"/>
      <c r="H2467" s="55"/>
    </row>
    <row r="2468" spans="1:8" ht="15" x14ac:dyDescent="0.2">
      <c r="A2468" s="18"/>
      <c r="B2468" s="19" t="s">
        <v>4958</v>
      </c>
      <c r="C2468" s="20" t="s">
        <v>4959</v>
      </c>
      <c r="D2468" s="2">
        <v>0.9</v>
      </c>
      <c r="E2468" s="21"/>
      <c r="F2468" s="2">
        <f t="shared" ref="F2468:F2499" si="55">cena*zakaz</f>
        <v>0</v>
      </c>
      <c r="G2468" s="3" t="str">
        <f>HYPERLINK("http://tmmp-catalog.com.ua/katalog/17/18180/","фото")</f>
        <v>фото</v>
      </c>
      <c r="H2468" s="22"/>
    </row>
    <row r="2469" spans="1:8" ht="15" x14ac:dyDescent="0.2">
      <c r="A2469" s="18">
        <v>2000000010090</v>
      </c>
      <c r="B2469" s="19" t="s">
        <v>4960</v>
      </c>
      <c r="C2469" s="20" t="s">
        <v>4961</v>
      </c>
      <c r="D2469" s="2">
        <v>1.2</v>
      </c>
      <c r="E2469" s="21"/>
      <c r="F2469" s="2">
        <f t="shared" si="55"/>
        <v>0</v>
      </c>
      <c r="G2469" s="3" t="str">
        <f>HYPERLINK("http://tmmp-catalog.com.ua/katalog/16/14322/","фото")</f>
        <v>фото</v>
      </c>
      <c r="H2469" s="22"/>
    </row>
    <row r="2470" spans="1:8" ht="15" x14ac:dyDescent="0.2">
      <c r="A2470" s="18"/>
      <c r="B2470" s="19" t="s">
        <v>4962</v>
      </c>
      <c r="C2470" s="20" t="s">
        <v>4963</v>
      </c>
      <c r="D2470" s="2">
        <v>1</v>
      </c>
      <c r="E2470" s="21"/>
      <c r="F2470" s="2">
        <f t="shared" si="55"/>
        <v>0</v>
      </c>
      <c r="G2470" s="3" t="str">
        <f>HYPERLINK("http://tmmp-catalog.com.ua/katalog/16/17763/","фото")</f>
        <v>фото</v>
      </c>
      <c r="H2470" s="22"/>
    </row>
    <row r="2471" spans="1:8" ht="15" x14ac:dyDescent="0.2">
      <c r="A2471" s="18"/>
      <c r="B2471" s="19" t="s">
        <v>4964</v>
      </c>
      <c r="C2471" s="20" t="s">
        <v>4965</v>
      </c>
      <c r="D2471" s="2">
        <v>1.8</v>
      </c>
      <c r="E2471" s="21"/>
      <c r="F2471" s="2">
        <f t="shared" si="55"/>
        <v>0</v>
      </c>
      <c r="G2471" s="3" t="str">
        <f>HYPERLINK("http://tmmp-catalog.com.ua/katalog/16/17364/","фото")</f>
        <v>фото</v>
      </c>
      <c r="H2471" s="22"/>
    </row>
    <row r="2472" spans="1:8" ht="15" x14ac:dyDescent="0.2">
      <c r="A2472" s="18"/>
      <c r="B2472" s="19" t="s">
        <v>4966</v>
      </c>
      <c r="C2472" s="20" t="s">
        <v>4967</v>
      </c>
      <c r="D2472" s="2">
        <v>3.1</v>
      </c>
      <c r="E2472" s="21"/>
      <c r="F2472" s="2">
        <f t="shared" si="55"/>
        <v>0</v>
      </c>
      <c r="G2472" s="3" t="str">
        <f>HYPERLINK("http://tmmp-catalog.com.ua/katalog/16/17365/","фото")</f>
        <v>фото</v>
      </c>
      <c r="H2472" s="22"/>
    </row>
    <row r="2473" spans="1:8" ht="15" x14ac:dyDescent="0.2">
      <c r="A2473" s="18"/>
      <c r="B2473" s="19" t="s">
        <v>4968</v>
      </c>
      <c r="C2473" s="20" t="s">
        <v>4969</v>
      </c>
      <c r="D2473" s="2">
        <v>1.65</v>
      </c>
      <c r="E2473" s="21"/>
      <c r="F2473" s="2">
        <f t="shared" si="55"/>
        <v>0</v>
      </c>
      <c r="G2473" s="3" t="str">
        <f>HYPERLINK("http://tmmp-catalog.com.ua/katalog/16/17366/","фото")</f>
        <v>фото</v>
      </c>
      <c r="H2473" s="22"/>
    </row>
    <row r="2474" spans="1:8" ht="15" x14ac:dyDescent="0.2">
      <c r="A2474" s="18">
        <v>2000000010151</v>
      </c>
      <c r="B2474" s="19" t="s">
        <v>4970</v>
      </c>
      <c r="C2474" s="20" t="s">
        <v>4971</v>
      </c>
      <c r="D2474" s="2">
        <v>0.4</v>
      </c>
      <c r="E2474" s="21"/>
      <c r="F2474" s="2">
        <f t="shared" si="55"/>
        <v>0</v>
      </c>
      <c r="G2474" s="3" t="str">
        <f>HYPERLINK("http://tmmp-catalog.com.ua/katalog/16/14328/","фото")</f>
        <v>фото</v>
      </c>
      <c r="H2474" s="22"/>
    </row>
    <row r="2475" spans="1:8" ht="15" x14ac:dyDescent="0.2">
      <c r="A2475" s="18">
        <v>2000000010083</v>
      </c>
      <c r="B2475" s="19" t="s">
        <v>4972</v>
      </c>
      <c r="C2475" s="20" t="s">
        <v>4973</v>
      </c>
      <c r="D2475" s="2">
        <v>0.2</v>
      </c>
      <c r="E2475" s="21"/>
      <c r="F2475" s="2">
        <f t="shared" si="55"/>
        <v>0</v>
      </c>
      <c r="G2475" s="3" t="str">
        <f>HYPERLINK("http://tmmp-catalog.com.ua/katalog/16/14321/","фото")</f>
        <v>фото</v>
      </c>
      <c r="H2475" s="22"/>
    </row>
    <row r="2476" spans="1:8" ht="15" x14ac:dyDescent="0.2">
      <c r="A2476" s="18"/>
      <c r="B2476" s="19" t="s">
        <v>4974</v>
      </c>
      <c r="C2476" s="20" t="s">
        <v>4975</v>
      </c>
      <c r="D2476" s="2">
        <v>0.9</v>
      </c>
      <c r="E2476" s="21"/>
      <c r="F2476" s="2">
        <f t="shared" si="55"/>
        <v>0</v>
      </c>
      <c r="G2476" s="3" t="str">
        <f>HYPERLINK("http://tmmp-catalog.com.ua/katalog/16/17703/","фото")</f>
        <v>фото</v>
      </c>
      <c r="H2476" s="22"/>
    </row>
    <row r="2477" spans="1:8" ht="15" x14ac:dyDescent="0.2">
      <c r="A2477" s="18"/>
      <c r="B2477" s="19" t="s">
        <v>4976</v>
      </c>
      <c r="C2477" s="20" t="s">
        <v>4977</v>
      </c>
      <c r="D2477" s="2">
        <v>1.3</v>
      </c>
      <c r="E2477" s="21"/>
      <c r="F2477" s="2">
        <f t="shared" si="55"/>
        <v>0</v>
      </c>
      <c r="G2477" s="3" t="str">
        <f>HYPERLINK("http://tmmp-catalog.com.ua/katalog/16/17367/","фото")</f>
        <v>фото</v>
      </c>
      <c r="H2477" s="22"/>
    </row>
    <row r="2478" spans="1:8" ht="15" x14ac:dyDescent="0.2">
      <c r="A2478" s="18">
        <v>2000000010182</v>
      </c>
      <c r="B2478" s="19" t="s">
        <v>4978</v>
      </c>
      <c r="C2478" s="20" t="s">
        <v>4979</v>
      </c>
      <c r="D2478" s="2">
        <v>0.7</v>
      </c>
      <c r="E2478" s="21"/>
      <c r="F2478" s="2">
        <f t="shared" si="55"/>
        <v>0</v>
      </c>
      <c r="G2478" s="3" t="str">
        <f>HYPERLINK("http://tmmp-catalog.com.ua/katalog/16/14331/","фото")</f>
        <v>фото</v>
      </c>
      <c r="H2478" s="22"/>
    </row>
    <row r="2479" spans="1:8" ht="15" x14ac:dyDescent="0.2">
      <c r="A2479" s="18"/>
      <c r="B2479" s="19" t="s">
        <v>4980</v>
      </c>
      <c r="C2479" s="20" t="s">
        <v>4981</v>
      </c>
      <c r="D2479" s="2">
        <v>7.5</v>
      </c>
      <c r="E2479" s="21"/>
      <c r="F2479" s="2">
        <f t="shared" si="55"/>
        <v>0</v>
      </c>
      <c r="G2479" s="3" t="str">
        <f>HYPERLINK("http://tmmp-catalog.com.ua/katalog/16/17505/","фото")</f>
        <v>фото</v>
      </c>
      <c r="H2479" s="22"/>
    </row>
    <row r="2480" spans="1:8" ht="15" x14ac:dyDescent="0.2">
      <c r="A2480" s="18"/>
      <c r="B2480" s="19" t="s">
        <v>4982</v>
      </c>
      <c r="C2480" s="20" t="s">
        <v>4983</v>
      </c>
      <c r="D2480" s="2">
        <v>9.9</v>
      </c>
      <c r="E2480" s="21"/>
      <c r="F2480" s="2">
        <f t="shared" si="55"/>
        <v>0</v>
      </c>
      <c r="G2480" s="3" t="str">
        <f>HYPERLINK("http://tmmp-catalog.com.ua/katalog/16/18812/","фото")</f>
        <v>фото</v>
      </c>
      <c r="H2480" s="22"/>
    </row>
    <row r="2481" spans="1:8" ht="15" x14ac:dyDescent="0.2">
      <c r="A2481" s="18">
        <v>2000000010212</v>
      </c>
      <c r="B2481" s="19" t="s">
        <v>4984</v>
      </c>
      <c r="C2481" s="20" t="s">
        <v>4985</v>
      </c>
      <c r="D2481" s="2">
        <v>8</v>
      </c>
      <c r="E2481" s="21"/>
      <c r="F2481" s="2">
        <f t="shared" si="55"/>
        <v>0</v>
      </c>
      <c r="G2481" s="3" t="str">
        <f>HYPERLINK("http://tmmp-catalog.com.ua/katalog/16/14334/","фото")</f>
        <v>фото</v>
      </c>
      <c r="H2481" s="22"/>
    </row>
    <row r="2482" spans="1:8" ht="15" x14ac:dyDescent="0.2">
      <c r="A2482" s="18">
        <v>2000000010205</v>
      </c>
      <c r="B2482" s="19" t="s">
        <v>4986</v>
      </c>
      <c r="C2482" s="20" t="s">
        <v>4987</v>
      </c>
      <c r="D2482" s="2">
        <v>7.5</v>
      </c>
      <c r="E2482" s="21"/>
      <c r="F2482" s="2">
        <f t="shared" si="55"/>
        <v>0</v>
      </c>
      <c r="G2482" s="3" t="str">
        <f>HYPERLINK("http://tmmp-catalog.com.ua/katalog/16/14333/","фото")</f>
        <v>фото</v>
      </c>
      <c r="H2482" s="22"/>
    </row>
    <row r="2483" spans="1:8" ht="15" x14ac:dyDescent="0.2">
      <c r="A2483" s="18"/>
      <c r="B2483" s="19" t="s">
        <v>4988</v>
      </c>
      <c r="C2483" s="20" t="s">
        <v>4989</v>
      </c>
      <c r="D2483" s="2">
        <v>9.5</v>
      </c>
      <c r="E2483" s="21"/>
      <c r="F2483" s="2">
        <f t="shared" si="55"/>
        <v>0</v>
      </c>
      <c r="G2483" s="3" t="str">
        <f>HYPERLINK("http://tmmp-catalog.com.ua/katalog/16/18811/","фото")</f>
        <v>фото</v>
      </c>
      <c r="H2483" s="22"/>
    </row>
    <row r="2484" spans="1:8" ht="15" x14ac:dyDescent="0.2">
      <c r="A2484" s="18"/>
      <c r="B2484" s="19" t="s">
        <v>4990</v>
      </c>
      <c r="C2484" s="20" t="s">
        <v>4991</v>
      </c>
      <c r="D2484" s="2">
        <v>18.5</v>
      </c>
      <c r="E2484" s="21"/>
      <c r="F2484" s="2">
        <f t="shared" si="55"/>
        <v>0</v>
      </c>
      <c r="G2484" s="3" t="str">
        <f>HYPERLINK("http://tmmp-catalog.com.ua/katalog/16/17371/","фото")</f>
        <v>фото</v>
      </c>
      <c r="H2484" s="22"/>
    </row>
    <row r="2485" spans="1:8" ht="15" x14ac:dyDescent="0.2">
      <c r="A2485" s="18"/>
      <c r="B2485" s="19" t="s">
        <v>4992</v>
      </c>
      <c r="C2485" s="20" t="s">
        <v>4993</v>
      </c>
      <c r="D2485" s="2">
        <v>45.5</v>
      </c>
      <c r="E2485" s="21"/>
      <c r="F2485" s="2">
        <f t="shared" si="55"/>
        <v>0</v>
      </c>
      <c r="G2485" s="3" t="str">
        <f>HYPERLINK("http://tmmp-catalog.com.ua/katalog/16/17370/","фото")</f>
        <v>фото</v>
      </c>
      <c r="H2485" s="22"/>
    </row>
    <row r="2486" spans="1:8" ht="15" x14ac:dyDescent="0.2">
      <c r="A2486" s="18"/>
      <c r="B2486" s="19" t="s">
        <v>4994</v>
      </c>
      <c r="C2486" s="20" t="s">
        <v>4995</v>
      </c>
      <c r="D2486" s="2">
        <v>8</v>
      </c>
      <c r="E2486" s="21"/>
      <c r="F2486" s="2">
        <f t="shared" si="55"/>
        <v>0</v>
      </c>
      <c r="G2486" s="3" t="str">
        <f>HYPERLINK("http://tmmp-catalog.com.ua/katalog/16/17647/","фото")</f>
        <v>фото</v>
      </c>
      <c r="H2486" s="22"/>
    </row>
    <row r="2487" spans="1:8" ht="15" x14ac:dyDescent="0.2">
      <c r="A2487" s="18">
        <v>2000000010243</v>
      </c>
      <c r="B2487" s="19" t="s">
        <v>4996</v>
      </c>
      <c r="C2487" s="20" t="s">
        <v>4997</v>
      </c>
      <c r="D2487" s="2">
        <v>4</v>
      </c>
      <c r="E2487" s="21"/>
      <c r="F2487" s="2">
        <f t="shared" si="55"/>
        <v>0</v>
      </c>
      <c r="G2487" s="3" t="str">
        <f>HYPERLINK("http://tmmp-catalog.com.ua/katalog/16/14337/","фото")</f>
        <v>фото</v>
      </c>
      <c r="H2487" s="22"/>
    </row>
    <row r="2488" spans="1:8" ht="15" x14ac:dyDescent="0.2">
      <c r="A2488" s="18">
        <v>2000000036175</v>
      </c>
      <c r="B2488" s="19" t="s">
        <v>4998</v>
      </c>
      <c r="C2488" s="20" t="s">
        <v>4999</v>
      </c>
      <c r="D2488" s="2">
        <v>4</v>
      </c>
      <c r="E2488" s="21"/>
      <c r="F2488" s="2">
        <f t="shared" si="55"/>
        <v>0</v>
      </c>
      <c r="G2488" s="3" t="str">
        <f>HYPERLINK("http://tmmp-catalog.com.ua/katalog/16/16403/","фото")</f>
        <v>фото</v>
      </c>
      <c r="H2488" s="22"/>
    </row>
    <row r="2489" spans="1:8" ht="15" x14ac:dyDescent="0.2">
      <c r="A2489" s="18"/>
      <c r="B2489" s="19" t="s">
        <v>5000</v>
      </c>
      <c r="C2489" s="20" t="s">
        <v>5001</v>
      </c>
      <c r="D2489" s="2">
        <v>0.5</v>
      </c>
      <c r="E2489" s="21"/>
      <c r="F2489" s="2">
        <f t="shared" si="55"/>
        <v>0</v>
      </c>
      <c r="G2489" s="3" t="str">
        <f>HYPERLINK("http://tmmp-catalog.com.ua/katalog/16/17531/","фото")</f>
        <v>фото</v>
      </c>
      <c r="H2489" s="22"/>
    </row>
    <row r="2490" spans="1:8" ht="15" x14ac:dyDescent="0.2">
      <c r="A2490" s="18"/>
      <c r="B2490" s="19" t="s">
        <v>5002</v>
      </c>
      <c r="C2490" s="20" t="s">
        <v>5003</v>
      </c>
      <c r="D2490" s="2">
        <v>6</v>
      </c>
      <c r="E2490" s="21"/>
      <c r="F2490" s="2">
        <f t="shared" si="55"/>
        <v>0</v>
      </c>
      <c r="G2490" s="3" t="str">
        <f>HYPERLINK("http://tmmp-catalog.com.ua/katalog/16/17506/","фото")</f>
        <v>фото</v>
      </c>
      <c r="H2490" s="22"/>
    </row>
    <row r="2491" spans="1:8" ht="15" x14ac:dyDescent="0.2">
      <c r="A2491" s="18">
        <v>2000000010281</v>
      </c>
      <c r="B2491" s="19" t="s">
        <v>5004</v>
      </c>
      <c r="C2491" s="20" t="s">
        <v>5005</v>
      </c>
      <c r="D2491" s="2">
        <v>0.6</v>
      </c>
      <c r="E2491" s="21"/>
      <c r="F2491" s="2">
        <f t="shared" si="55"/>
        <v>0</v>
      </c>
      <c r="G2491" s="3" t="str">
        <f>HYPERLINK("http://tmmp-catalog.com.ua/katalog/16/14341/","фото")</f>
        <v>фото</v>
      </c>
      <c r="H2491" s="22"/>
    </row>
    <row r="2492" spans="1:8" ht="15" x14ac:dyDescent="0.2">
      <c r="A2492" s="18">
        <v>2000000010304</v>
      </c>
      <c r="B2492" s="19" t="s">
        <v>5006</v>
      </c>
      <c r="C2492" s="20" t="s">
        <v>5007</v>
      </c>
      <c r="D2492" s="2">
        <v>0.8</v>
      </c>
      <c r="E2492" s="21"/>
      <c r="F2492" s="2">
        <f t="shared" si="55"/>
        <v>0</v>
      </c>
      <c r="G2492" s="3" t="str">
        <f>HYPERLINK("http://tmmp-catalog.com.ua/katalog/16/14343/","фото")</f>
        <v>фото</v>
      </c>
      <c r="H2492" s="22"/>
    </row>
    <row r="2493" spans="1:8" ht="15" x14ac:dyDescent="0.2">
      <c r="A2493" s="18">
        <v>2000000010298</v>
      </c>
      <c r="B2493" s="19" t="s">
        <v>5008</v>
      </c>
      <c r="C2493" s="20" t="s">
        <v>5009</v>
      </c>
      <c r="D2493" s="2">
        <v>0.8</v>
      </c>
      <c r="E2493" s="21"/>
      <c r="F2493" s="2">
        <f t="shared" si="55"/>
        <v>0</v>
      </c>
      <c r="G2493" s="3" t="str">
        <f>HYPERLINK("http://tmmp-catalog.com.ua/katalog/16/14342/","фото")</f>
        <v>фото</v>
      </c>
      <c r="H2493" s="22"/>
    </row>
    <row r="2494" spans="1:8" ht="15" x14ac:dyDescent="0.2">
      <c r="A2494" s="18"/>
      <c r="B2494" s="19" t="s">
        <v>5010</v>
      </c>
      <c r="C2494" s="20" t="s">
        <v>5011</v>
      </c>
      <c r="D2494" s="2">
        <v>2.9</v>
      </c>
      <c r="E2494" s="21"/>
      <c r="F2494" s="2">
        <f t="shared" si="55"/>
        <v>0</v>
      </c>
      <c r="G2494" s="3" t="str">
        <f>HYPERLINK("http://tmmp-catalog.com.ua/katalog/16/17640/","фото")</f>
        <v>фото</v>
      </c>
      <c r="H2494" s="22"/>
    </row>
    <row r="2495" spans="1:8" ht="15" x14ac:dyDescent="0.2">
      <c r="A2495" s="18">
        <v>2000000010311</v>
      </c>
      <c r="B2495" s="19" t="s">
        <v>5012</v>
      </c>
      <c r="C2495" s="20" t="s">
        <v>5013</v>
      </c>
      <c r="D2495" s="2">
        <v>1.2</v>
      </c>
      <c r="E2495" s="21"/>
      <c r="F2495" s="2">
        <f t="shared" si="55"/>
        <v>0</v>
      </c>
      <c r="G2495" s="3" t="str">
        <f>HYPERLINK("http://tmmp-catalog.com.ua/katalog/16/14344/","фото")</f>
        <v>фото</v>
      </c>
      <c r="H2495" s="22"/>
    </row>
    <row r="2496" spans="1:8" ht="15" x14ac:dyDescent="0.2">
      <c r="A2496" s="18">
        <v>2000000010335</v>
      </c>
      <c r="B2496" s="19" t="s">
        <v>5014</v>
      </c>
      <c r="C2496" s="20" t="s">
        <v>5015</v>
      </c>
      <c r="D2496" s="2">
        <v>1</v>
      </c>
      <c r="E2496" s="21"/>
      <c r="F2496" s="2">
        <f t="shared" si="55"/>
        <v>0</v>
      </c>
      <c r="G2496" s="3" t="str">
        <f>HYPERLINK("http://tmmp-catalog.com.ua/katalog/16/14346/","фото")</f>
        <v>фото</v>
      </c>
      <c r="H2496" s="22"/>
    </row>
    <row r="2497" spans="1:8" ht="15" x14ac:dyDescent="0.2">
      <c r="A2497" s="18"/>
      <c r="B2497" s="19" t="s">
        <v>5016</v>
      </c>
      <c r="C2497" s="20" t="s">
        <v>5017</v>
      </c>
      <c r="D2497" s="2">
        <v>0.9</v>
      </c>
      <c r="E2497" s="21"/>
      <c r="F2497" s="2">
        <f t="shared" si="55"/>
        <v>0</v>
      </c>
      <c r="G2497" s="3" t="str">
        <f>HYPERLINK("http://tmmp-catalog.com.ua/katalog/37/18364/","фото")</f>
        <v>фото</v>
      </c>
      <c r="H2497" s="22"/>
    </row>
    <row r="2498" spans="1:8" ht="15" x14ac:dyDescent="0.2">
      <c r="A2498" s="18"/>
      <c r="B2498" s="19" t="s">
        <v>5018</v>
      </c>
      <c r="C2498" s="20" t="s">
        <v>5019</v>
      </c>
      <c r="D2498" s="2">
        <v>3.3</v>
      </c>
      <c r="E2498" s="21"/>
      <c r="F2498" s="2">
        <f t="shared" si="55"/>
        <v>0</v>
      </c>
      <c r="G2498" s="3" t="str">
        <f>HYPERLINK("http://tmmp-catalog.com.ua/katalog/16/18136/","фото")</f>
        <v>фото</v>
      </c>
      <c r="H2498" s="22"/>
    </row>
    <row r="2499" spans="1:8" ht="15" x14ac:dyDescent="0.2">
      <c r="A2499" s="18"/>
      <c r="B2499" s="19" t="s">
        <v>5020</v>
      </c>
      <c r="C2499" s="20" t="s">
        <v>5021</v>
      </c>
      <c r="D2499" s="2">
        <v>1.3</v>
      </c>
      <c r="E2499" s="21"/>
      <c r="F2499" s="2">
        <f t="shared" si="55"/>
        <v>0</v>
      </c>
      <c r="G2499" s="3" t="str">
        <f>HYPERLINK("http://tmmp-catalog.com.ua/katalog/16/17532/","фото")</f>
        <v>фото</v>
      </c>
      <c r="H2499" s="22"/>
    </row>
    <row r="2500" spans="1:8" ht="15" x14ac:dyDescent="0.2">
      <c r="A2500" s="18">
        <v>2000000010342</v>
      </c>
      <c r="B2500" s="19" t="s">
        <v>5022</v>
      </c>
      <c r="C2500" s="20" t="s">
        <v>5023</v>
      </c>
      <c r="D2500" s="2">
        <v>2.2999999999999998</v>
      </c>
      <c r="E2500" s="21"/>
      <c r="F2500" s="2">
        <f t="shared" ref="F2500:F2531" si="56">cena*zakaz</f>
        <v>0</v>
      </c>
      <c r="G2500" s="3" t="str">
        <f>HYPERLINK("http://tmmp-catalog.com.ua/katalog/16/14347/","фото")</f>
        <v>фото</v>
      </c>
      <c r="H2500" s="22"/>
    </row>
    <row r="2501" spans="1:8" ht="15" x14ac:dyDescent="0.2">
      <c r="A2501" s="18"/>
      <c r="B2501" s="19" t="s">
        <v>5024</v>
      </c>
      <c r="C2501" s="20" t="s">
        <v>5025</v>
      </c>
      <c r="D2501" s="2">
        <v>3.7</v>
      </c>
      <c r="E2501" s="21"/>
      <c r="F2501" s="2">
        <f t="shared" si="56"/>
        <v>0</v>
      </c>
      <c r="G2501" s="3" t="str">
        <f>HYPERLINK("http://tmmp-catalog.com.ua/katalog/16/17704/","фото")</f>
        <v>фото</v>
      </c>
      <c r="H2501" s="22"/>
    </row>
    <row r="2502" spans="1:8" ht="15" x14ac:dyDescent="0.2">
      <c r="A2502" s="18">
        <v>2000000010359</v>
      </c>
      <c r="B2502" s="19" t="s">
        <v>5026</v>
      </c>
      <c r="C2502" s="20" t="s">
        <v>5027</v>
      </c>
      <c r="D2502" s="2">
        <v>1.5</v>
      </c>
      <c r="E2502" s="21"/>
      <c r="F2502" s="2">
        <f t="shared" si="56"/>
        <v>0</v>
      </c>
      <c r="G2502" s="3" t="str">
        <f>HYPERLINK("http://tmmp-catalog.com.ua/katalog/16/14348/","фото")</f>
        <v>фото</v>
      </c>
      <c r="H2502" s="22"/>
    </row>
    <row r="2503" spans="1:8" ht="15" x14ac:dyDescent="0.2">
      <c r="A2503" s="18"/>
      <c r="B2503" s="19" t="s">
        <v>5028</v>
      </c>
      <c r="C2503" s="20" t="s">
        <v>5029</v>
      </c>
      <c r="D2503" s="2">
        <v>6.2</v>
      </c>
      <c r="E2503" s="21"/>
      <c r="F2503" s="2">
        <f t="shared" si="56"/>
        <v>0</v>
      </c>
      <c r="G2503" s="3" t="str">
        <f>HYPERLINK("http://tmmp-catalog.com.ua/katalog/16/17373/","фото")</f>
        <v>фото</v>
      </c>
      <c r="H2503" s="22"/>
    </row>
    <row r="2504" spans="1:8" ht="15" x14ac:dyDescent="0.2">
      <c r="A2504" s="18">
        <v>2000000037325</v>
      </c>
      <c r="B2504" s="19" t="s">
        <v>5030</v>
      </c>
      <c r="C2504" s="20" t="s">
        <v>5031</v>
      </c>
      <c r="D2504" s="2">
        <v>1.5</v>
      </c>
      <c r="E2504" s="21"/>
      <c r="F2504" s="2">
        <f t="shared" si="56"/>
        <v>0</v>
      </c>
      <c r="G2504" s="3" t="str">
        <f>HYPERLINK("http://tmmp-catalog.com.ua/katalog/16/16406/","фото")</f>
        <v>фото</v>
      </c>
      <c r="H2504" s="22"/>
    </row>
    <row r="2505" spans="1:8" ht="15" x14ac:dyDescent="0.2">
      <c r="A2505" s="18"/>
      <c r="B2505" s="19" t="s">
        <v>5032</v>
      </c>
      <c r="C2505" s="20" t="s">
        <v>5033</v>
      </c>
      <c r="D2505" s="2">
        <v>0.9</v>
      </c>
      <c r="E2505" s="21"/>
      <c r="F2505" s="2">
        <f t="shared" si="56"/>
        <v>0</v>
      </c>
      <c r="G2505" s="3" t="str">
        <f>HYPERLINK("http://tmmp-catalog.com.ua/katalog/16/17374/","фото")</f>
        <v>фото</v>
      </c>
      <c r="H2505" s="22"/>
    </row>
    <row r="2506" spans="1:8" ht="15" x14ac:dyDescent="0.2">
      <c r="A2506" s="18">
        <v>2000000010403</v>
      </c>
      <c r="B2506" s="19" t="s">
        <v>5034</v>
      </c>
      <c r="C2506" s="20" t="s">
        <v>5035</v>
      </c>
      <c r="D2506" s="2">
        <v>4.2</v>
      </c>
      <c r="E2506" s="21"/>
      <c r="F2506" s="2">
        <f t="shared" si="56"/>
        <v>0</v>
      </c>
      <c r="G2506" s="3" t="str">
        <f>HYPERLINK("http://tmmp-catalog.com.ua/katalog/16/14353/","фото")</f>
        <v>фото</v>
      </c>
      <c r="H2506" s="22"/>
    </row>
    <row r="2507" spans="1:8" ht="15" x14ac:dyDescent="0.2">
      <c r="A2507" s="18">
        <v>2000000010427</v>
      </c>
      <c r="B2507" s="19" t="s">
        <v>5036</v>
      </c>
      <c r="C2507" s="20" t="s">
        <v>5037</v>
      </c>
      <c r="D2507" s="2">
        <v>4.2</v>
      </c>
      <c r="E2507" s="21"/>
      <c r="F2507" s="2">
        <f t="shared" si="56"/>
        <v>0</v>
      </c>
      <c r="G2507" s="3" t="str">
        <f>HYPERLINK("http://tmmp-catalog.com.ua/katalog/16/14355/","фото")</f>
        <v>фото</v>
      </c>
      <c r="H2507" s="22"/>
    </row>
    <row r="2508" spans="1:8" ht="15" x14ac:dyDescent="0.2">
      <c r="A2508" s="18"/>
      <c r="B2508" s="19" t="s">
        <v>5038</v>
      </c>
      <c r="C2508" s="20" t="s">
        <v>5039</v>
      </c>
      <c r="D2508" s="2">
        <v>7.6</v>
      </c>
      <c r="E2508" s="21"/>
      <c r="F2508" s="2">
        <f t="shared" si="56"/>
        <v>0</v>
      </c>
      <c r="G2508" s="3" t="str">
        <f>HYPERLINK("http://tmmp-catalog.com.ua/katalog/16/17533/","фото")</f>
        <v>фото</v>
      </c>
      <c r="H2508" s="22"/>
    </row>
    <row r="2509" spans="1:8" ht="15" x14ac:dyDescent="0.2">
      <c r="A2509" s="18">
        <v>2000000037493</v>
      </c>
      <c r="B2509" s="19" t="s">
        <v>5040</v>
      </c>
      <c r="C2509" s="20" t="s">
        <v>5041</v>
      </c>
      <c r="D2509" s="2">
        <v>0.85</v>
      </c>
      <c r="E2509" s="21"/>
      <c r="F2509" s="2">
        <f t="shared" si="56"/>
        <v>0</v>
      </c>
      <c r="G2509" s="3" t="str">
        <f>HYPERLINK("http://tmmp-catalog.com.ua/katalog/16/17090/","фото")</f>
        <v>фото</v>
      </c>
      <c r="H2509" s="22"/>
    </row>
    <row r="2510" spans="1:8" ht="15" x14ac:dyDescent="0.2">
      <c r="A2510" s="18"/>
      <c r="B2510" s="19" t="s">
        <v>5042</v>
      </c>
      <c r="C2510" s="20" t="s">
        <v>5043</v>
      </c>
      <c r="D2510" s="2">
        <v>5.4</v>
      </c>
      <c r="E2510" s="21"/>
      <c r="F2510" s="2">
        <f t="shared" si="56"/>
        <v>0</v>
      </c>
      <c r="G2510" s="3" t="str">
        <f>HYPERLINK("http://tmmp-catalog.com.ua/katalog/16/17375/","фото")</f>
        <v>фото</v>
      </c>
      <c r="H2510" s="22"/>
    </row>
    <row r="2511" spans="1:8" ht="15" x14ac:dyDescent="0.2">
      <c r="A2511" s="18"/>
      <c r="B2511" s="19" t="s">
        <v>5044</v>
      </c>
      <c r="C2511" s="20" t="s">
        <v>5045</v>
      </c>
      <c r="D2511" s="2">
        <v>0.75</v>
      </c>
      <c r="E2511" s="21"/>
      <c r="F2511" s="2">
        <f t="shared" si="56"/>
        <v>0</v>
      </c>
      <c r="G2511" s="3" t="str">
        <f>HYPERLINK("http://tmmp-catalog.com.ua/katalog/16/17377/","фото")</f>
        <v>фото</v>
      </c>
      <c r="H2511" s="22"/>
    </row>
    <row r="2512" spans="1:8" ht="15" x14ac:dyDescent="0.2">
      <c r="A2512" s="18">
        <v>2000000010441</v>
      </c>
      <c r="B2512" s="19" t="s">
        <v>5046</v>
      </c>
      <c r="C2512" s="20" t="s">
        <v>5047</v>
      </c>
      <c r="D2512" s="2">
        <v>0.5</v>
      </c>
      <c r="E2512" s="21"/>
      <c r="F2512" s="2">
        <f t="shared" si="56"/>
        <v>0</v>
      </c>
      <c r="G2512" s="3" t="str">
        <f>HYPERLINK("http://tmmp-catalog.com.ua/katalog/16/14357/","фото")</f>
        <v>фото</v>
      </c>
      <c r="H2512" s="22"/>
    </row>
    <row r="2513" spans="1:8" ht="15" x14ac:dyDescent="0.2">
      <c r="A2513" s="18">
        <v>2000000010823</v>
      </c>
      <c r="B2513" s="19" t="s">
        <v>5048</v>
      </c>
      <c r="C2513" s="20" t="s">
        <v>5049</v>
      </c>
      <c r="D2513" s="2">
        <v>0.6</v>
      </c>
      <c r="E2513" s="21"/>
      <c r="F2513" s="2">
        <f t="shared" si="56"/>
        <v>0</v>
      </c>
      <c r="G2513" s="3" t="str">
        <f>HYPERLINK("http://tmmp-catalog.com.ua/katalog/16/14395/","фото")</f>
        <v>фото</v>
      </c>
      <c r="H2513" s="22"/>
    </row>
    <row r="2514" spans="1:8" ht="15" x14ac:dyDescent="0.2">
      <c r="A2514" s="18"/>
      <c r="B2514" s="19" t="s">
        <v>5050</v>
      </c>
      <c r="C2514" s="20" t="s">
        <v>5051</v>
      </c>
      <c r="D2514" s="2">
        <v>0.65</v>
      </c>
      <c r="E2514" s="21"/>
      <c r="F2514" s="2">
        <f t="shared" si="56"/>
        <v>0</v>
      </c>
      <c r="G2514" s="3" t="str">
        <f>HYPERLINK("http://tmmp-catalog.com.ua/katalog/16/17378/","фото")</f>
        <v>фото</v>
      </c>
      <c r="H2514" s="22"/>
    </row>
    <row r="2515" spans="1:8" ht="15" x14ac:dyDescent="0.2">
      <c r="A2515" s="18"/>
      <c r="B2515" s="19" t="s">
        <v>5052</v>
      </c>
      <c r="C2515" s="20" t="s">
        <v>5053</v>
      </c>
      <c r="D2515" s="2">
        <v>1</v>
      </c>
      <c r="E2515" s="21"/>
      <c r="F2515" s="2">
        <f t="shared" si="56"/>
        <v>0</v>
      </c>
      <c r="G2515" s="3" t="str">
        <f>HYPERLINK("http://tmmp-catalog.com.ua/katalog/16/17380/","фото")</f>
        <v>фото</v>
      </c>
      <c r="H2515" s="22"/>
    </row>
    <row r="2516" spans="1:8" ht="15" x14ac:dyDescent="0.2">
      <c r="A2516" s="18"/>
      <c r="B2516" s="19" t="s">
        <v>5054</v>
      </c>
      <c r="C2516" s="20" t="s">
        <v>5055</v>
      </c>
      <c r="D2516" s="2">
        <v>2</v>
      </c>
      <c r="E2516" s="21"/>
      <c r="F2516" s="2">
        <f t="shared" si="56"/>
        <v>0</v>
      </c>
      <c r="G2516" s="3" t="str">
        <f>HYPERLINK("http://tmmp-catalog.com.ua/katalog/16/17381/","фото")</f>
        <v>фото</v>
      </c>
      <c r="H2516" s="22"/>
    </row>
    <row r="2517" spans="1:8" ht="15" x14ac:dyDescent="0.2">
      <c r="A2517" s="18">
        <v>2000000010465</v>
      </c>
      <c r="B2517" s="19" t="s">
        <v>5056</v>
      </c>
      <c r="C2517" s="20" t="s">
        <v>5057</v>
      </c>
      <c r="D2517" s="2">
        <v>0.2</v>
      </c>
      <c r="E2517" s="21"/>
      <c r="F2517" s="2">
        <f t="shared" si="56"/>
        <v>0</v>
      </c>
      <c r="G2517" s="3" t="str">
        <f>HYPERLINK("http://tmmp-catalog.com.ua/katalog/16/14359/","фото")</f>
        <v>фото</v>
      </c>
      <c r="H2517" s="22"/>
    </row>
    <row r="2518" spans="1:8" ht="15" x14ac:dyDescent="0.2">
      <c r="A2518" s="18"/>
      <c r="B2518" s="19" t="s">
        <v>5058</v>
      </c>
      <c r="C2518" s="20" t="s">
        <v>5059</v>
      </c>
      <c r="D2518" s="2">
        <v>0.2</v>
      </c>
      <c r="E2518" s="21"/>
      <c r="F2518" s="2">
        <f t="shared" si="56"/>
        <v>0</v>
      </c>
      <c r="G2518" s="3" t="str">
        <f>HYPERLINK("http://tmmp-catalog.com.ua/katalog/37/18392/","фото")</f>
        <v>фото</v>
      </c>
      <c r="H2518" s="22"/>
    </row>
    <row r="2519" spans="1:8" ht="15" x14ac:dyDescent="0.2">
      <c r="A2519" s="18"/>
      <c r="B2519" s="19" t="s">
        <v>5060</v>
      </c>
      <c r="C2519" s="20" t="s">
        <v>5061</v>
      </c>
      <c r="D2519" s="2">
        <v>0.4</v>
      </c>
      <c r="E2519" s="21"/>
      <c r="F2519" s="2">
        <f t="shared" si="56"/>
        <v>0</v>
      </c>
      <c r="G2519" s="3" t="str">
        <f>HYPERLINK("http://tmmp-catalog.com.ua/katalog/16/17660/","фото")</f>
        <v>фото</v>
      </c>
      <c r="H2519" s="22"/>
    </row>
    <row r="2520" spans="1:8" ht="15" x14ac:dyDescent="0.2">
      <c r="A2520" s="18"/>
      <c r="B2520" s="19" t="s">
        <v>5062</v>
      </c>
      <c r="C2520" s="20" t="s">
        <v>5063</v>
      </c>
      <c r="D2520" s="2">
        <v>0.9</v>
      </c>
      <c r="E2520" s="21"/>
      <c r="F2520" s="2">
        <f t="shared" si="56"/>
        <v>0</v>
      </c>
      <c r="G2520" s="3" t="str">
        <f>HYPERLINK("http://tmmp-catalog.com.ua/katalog/16/17383/","фото")</f>
        <v>фото</v>
      </c>
      <c r="H2520" s="22"/>
    </row>
    <row r="2521" spans="1:8" ht="15" x14ac:dyDescent="0.2">
      <c r="A2521" s="18"/>
      <c r="B2521" s="19" t="s">
        <v>5064</v>
      </c>
      <c r="C2521" s="20" t="s">
        <v>5065</v>
      </c>
      <c r="D2521" s="2">
        <v>0.7</v>
      </c>
      <c r="E2521" s="21"/>
      <c r="F2521" s="2">
        <f t="shared" si="56"/>
        <v>0</v>
      </c>
      <c r="G2521" s="3" t="str">
        <f>HYPERLINK("http://tmmp-catalog.com.ua/katalog/16/17508/","фото")</f>
        <v>фото</v>
      </c>
      <c r="H2521" s="22"/>
    </row>
    <row r="2522" spans="1:8" ht="15" x14ac:dyDescent="0.2">
      <c r="A2522" s="18">
        <v>2000000010502</v>
      </c>
      <c r="B2522" s="19" t="s">
        <v>5066</v>
      </c>
      <c r="C2522" s="20" t="s">
        <v>5067</v>
      </c>
      <c r="D2522" s="2">
        <v>0.6</v>
      </c>
      <c r="E2522" s="21"/>
      <c r="F2522" s="2">
        <f t="shared" si="56"/>
        <v>0</v>
      </c>
      <c r="G2522" s="3" t="str">
        <f>HYPERLINK("http://tmmp-catalog.com.ua/katalog/16/14363/","фото")</f>
        <v>фото</v>
      </c>
      <c r="H2522" s="22"/>
    </row>
    <row r="2523" spans="1:8" ht="15" x14ac:dyDescent="0.2">
      <c r="A2523" s="18">
        <v>2000000011103</v>
      </c>
      <c r="B2523" s="19" t="s">
        <v>5068</v>
      </c>
      <c r="C2523" s="20" t="s">
        <v>5069</v>
      </c>
      <c r="D2523" s="2">
        <v>1.8</v>
      </c>
      <c r="E2523" s="21"/>
      <c r="F2523" s="2">
        <f t="shared" si="56"/>
        <v>0</v>
      </c>
      <c r="G2523" s="3" t="str">
        <f>HYPERLINK("http://tmmp-catalog.com.ua/katalog/16/16551/","фото")</f>
        <v>фото</v>
      </c>
      <c r="H2523" s="22"/>
    </row>
    <row r="2524" spans="1:8" ht="15" x14ac:dyDescent="0.2">
      <c r="A2524" s="18">
        <v>2000000011073</v>
      </c>
      <c r="B2524" s="19" t="s">
        <v>5070</v>
      </c>
      <c r="C2524" s="20" t="s">
        <v>5071</v>
      </c>
      <c r="D2524" s="2">
        <v>1.8</v>
      </c>
      <c r="E2524" s="21"/>
      <c r="F2524" s="2">
        <f t="shared" si="56"/>
        <v>0</v>
      </c>
      <c r="G2524" s="3" t="str">
        <f>HYPERLINK("http://tmmp-catalog.com.ua/katalog/16/16410/","фото")</f>
        <v>фото</v>
      </c>
      <c r="H2524" s="22"/>
    </row>
    <row r="2525" spans="1:8" ht="15" x14ac:dyDescent="0.2">
      <c r="A2525" s="18"/>
      <c r="B2525" s="19" t="s">
        <v>5072</v>
      </c>
      <c r="C2525" s="20" t="s">
        <v>5073</v>
      </c>
      <c r="D2525" s="2">
        <v>3.15</v>
      </c>
      <c r="E2525" s="21"/>
      <c r="F2525" s="2">
        <f t="shared" si="56"/>
        <v>0</v>
      </c>
      <c r="G2525" s="3" t="str">
        <f>HYPERLINK("http://tmmp-catalog.com.ua/katalog/16/18842/","фото")</f>
        <v>фото</v>
      </c>
      <c r="H2525" s="22"/>
    </row>
    <row r="2526" spans="1:8" ht="15" x14ac:dyDescent="0.2">
      <c r="A2526" s="18">
        <v>2000000010526</v>
      </c>
      <c r="B2526" s="19" t="s">
        <v>5074</v>
      </c>
      <c r="C2526" s="20" t="s">
        <v>5075</v>
      </c>
      <c r="D2526" s="2">
        <v>1.7</v>
      </c>
      <c r="E2526" s="21"/>
      <c r="F2526" s="2">
        <f t="shared" si="56"/>
        <v>0</v>
      </c>
      <c r="G2526" s="3" t="str">
        <f>HYPERLINK("http://tmmp-catalog.com.ua/katalog/16/14365/","фото")</f>
        <v>фото</v>
      </c>
      <c r="H2526" s="22"/>
    </row>
    <row r="2527" spans="1:8" ht="15" x14ac:dyDescent="0.2">
      <c r="A2527" s="18">
        <v>2000000010533</v>
      </c>
      <c r="B2527" s="19" t="s">
        <v>5076</v>
      </c>
      <c r="C2527" s="20" t="s">
        <v>5077</v>
      </c>
      <c r="D2527" s="2">
        <v>1.7</v>
      </c>
      <c r="E2527" s="21"/>
      <c r="F2527" s="2">
        <f t="shared" si="56"/>
        <v>0</v>
      </c>
      <c r="G2527" s="3" t="str">
        <f>HYPERLINK("http://tmmp-catalog.com.ua/katalog/16/14366/","фото")</f>
        <v>фото</v>
      </c>
      <c r="H2527" s="22"/>
    </row>
    <row r="2528" spans="1:8" ht="15" x14ac:dyDescent="0.2">
      <c r="A2528" s="18"/>
      <c r="B2528" s="19" t="s">
        <v>5078</v>
      </c>
      <c r="C2528" s="20" t="s">
        <v>5079</v>
      </c>
      <c r="D2528" s="2">
        <v>2.2999999999999998</v>
      </c>
      <c r="E2528" s="21"/>
      <c r="F2528" s="2">
        <f t="shared" si="56"/>
        <v>0</v>
      </c>
      <c r="G2528" s="3" t="str">
        <f>HYPERLINK("http://tmmp-catalog.com.ua/katalog/16/17509/","фото")</f>
        <v>фото</v>
      </c>
      <c r="H2528" s="22"/>
    </row>
    <row r="2529" spans="1:8" ht="15" x14ac:dyDescent="0.2">
      <c r="A2529" s="18">
        <v>2000000010540</v>
      </c>
      <c r="B2529" s="19" t="s">
        <v>5080</v>
      </c>
      <c r="C2529" s="20" t="s">
        <v>5081</v>
      </c>
      <c r="D2529" s="2">
        <v>0.6</v>
      </c>
      <c r="E2529" s="21"/>
      <c r="F2529" s="2">
        <f t="shared" si="56"/>
        <v>0</v>
      </c>
      <c r="G2529" s="3" t="str">
        <f>HYPERLINK("http://tmmp-catalog.com.ua/katalog/16/14367/","фото")</f>
        <v>фото</v>
      </c>
      <c r="H2529" s="22"/>
    </row>
    <row r="2530" spans="1:8" ht="15" x14ac:dyDescent="0.2">
      <c r="A2530" s="18"/>
      <c r="B2530" s="19" t="s">
        <v>5082</v>
      </c>
      <c r="C2530" s="20" t="s">
        <v>5083</v>
      </c>
      <c r="D2530" s="2">
        <v>1.3</v>
      </c>
      <c r="E2530" s="21"/>
      <c r="F2530" s="2">
        <f t="shared" si="56"/>
        <v>0</v>
      </c>
      <c r="G2530" s="3" t="str">
        <f>HYPERLINK("http://tmmp-catalog.com.ua/katalog/37/18460/","фото")</f>
        <v>фото</v>
      </c>
      <c r="H2530" s="22"/>
    </row>
    <row r="2531" spans="1:8" ht="15" x14ac:dyDescent="0.2">
      <c r="A2531" s="18">
        <v>2000000010557</v>
      </c>
      <c r="B2531" s="19" t="s">
        <v>5084</v>
      </c>
      <c r="C2531" s="20" t="s">
        <v>5085</v>
      </c>
      <c r="D2531" s="2">
        <v>0.2</v>
      </c>
      <c r="E2531" s="21"/>
      <c r="F2531" s="2">
        <f t="shared" si="56"/>
        <v>0</v>
      </c>
      <c r="G2531" s="3" t="str">
        <f>HYPERLINK("http://tmmp-catalog.com.ua/katalog/16/14368/","фото")</f>
        <v>фото</v>
      </c>
      <c r="H2531" s="22"/>
    </row>
    <row r="2532" spans="1:8" ht="15" x14ac:dyDescent="0.2">
      <c r="A2532" s="18"/>
      <c r="B2532" s="19" t="s">
        <v>5086</v>
      </c>
      <c r="C2532" s="20" t="s">
        <v>5087</v>
      </c>
      <c r="D2532" s="2">
        <v>0.55000000000000004</v>
      </c>
      <c r="E2532" s="21"/>
      <c r="F2532" s="2">
        <f t="shared" ref="F2532:F2563" si="57">cena*zakaz</f>
        <v>0</v>
      </c>
      <c r="G2532" s="3" t="str">
        <f>HYPERLINK("http://tmmp-catalog.com.ua/katalog/16/17534/","фото")</f>
        <v>фото</v>
      </c>
      <c r="H2532" s="22"/>
    </row>
    <row r="2533" spans="1:8" ht="15" x14ac:dyDescent="0.2">
      <c r="A2533" s="18">
        <v>2000000010564</v>
      </c>
      <c r="B2533" s="19" t="s">
        <v>5088</v>
      </c>
      <c r="C2533" s="20" t="s">
        <v>5089</v>
      </c>
      <c r="D2533" s="2">
        <v>0.5</v>
      </c>
      <c r="E2533" s="21"/>
      <c r="F2533" s="2">
        <f t="shared" si="57"/>
        <v>0</v>
      </c>
      <c r="G2533" s="3" t="str">
        <f>HYPERLINK("http://tmmp-catalog.com.ua/katalog/16/14369/","фото")</f>
        <v>фото</v>
      </c>
      <c r="H2533" s="22"/>
    </row>
    <row r="2534" spans="1:8" ht="15" x14ac:dyDescent="0.2">
      <c r="A2534" s="18">
        <v>2000000010571</v>
      </c>
      <c r="B2534" s="19" t="s">
        <v>5090</v>
      </c>
      <c r="C2534" s="20" t="s">
        <v>5091</v>
      </c>
      <c r="D2534" s="2">
        <v>0.7</v>
      </c>
      <c r="E2534" s="21"/>
      <c r="F2534" s="2">
        <f t="shared" si="57"/>
        <v>0</v>
      </c>
      <c r="G2534" s="3" t="str">
        <f>HYPERLINK("http://tmmp-catalog.com.ua/katalog/16/14370/","фото")</f>
        <v>фото</v>
      </c>
      <c r="H2534" s="22"/>
    </row>
    <row r="2535" spans="1:8" ht="15" x14ac:dyDescent="0.2">
      <c r="A2535" s="18"/>
      <c r="B2535" s="19" t="s">
        <v>5092</v>
      </c>
      <c r="C2535" s="20" t="s">
        <v>5093</v>
      </c>
      <c r="D2535" s="2">
        <v>0.05</v>
      </c>
      <c r="E2535" s="21"/>
      <c r="F2535" s="2">
        <f t="shared" si="57"/>
        <v>0</v>
      </c>
      <c r="G2535" s="3" t="str">
        <f>HYPERLINK("http://tmmp-catalog.com.ua/katalog/37/18465/","фото")</f>
        <v>фото</v>
      </c>
      <c r="H2535" s="22"/>
    </row>
    <row r="2536" spans="1:8" ht="15" x14ac:dyDescent="0.2">
      <c r="A2536" s="18"/>
      <c r="B2536" s="19" t="s">
        <v>5094</v>
      </c>
      <c r="C2536" s="20" t="s">
        <v>5095</v>
      </c>
      <c r="D2536" s="2">
        <v>0.8</v>
      </c>
      <c r="E2536" s="21"/>
      <c r="F2536" s="2">
        <f t="shared" si="57"/>
        <v>0</v>
      </c>
      <c r="G2536" s="3" t="str">
        <f>HYPERLINK("http://tmmp-catalog.com.ua/katalog/17/18105/","фото")</f>
        <v>фото</v>
      </c>
      <c r="H2536" s="22"/>
    </row>
    <row r="2537" spans="1:8" ht="15" x14ac:dyDescent="0.2">
      <c r="A2537" s="18">
        <v>2000000010618</v>
      </c>
      <c r="B2537" s="19" t="s">
        <v>5096</v>
      </c>
      <c r="C2537" s="20" t="s">
        <v>5097</v>
      </c>
      <c r="D2537" s="2">
        <v>0.4</v>
      </c>
      <c r="E2537" s="21"/>
      <c r="F2537" s="2">
        <f t="shared" si="57"/>
        <v>0</v>
      </c>
      <c r="G2537" s="3" t="str">
        <f>HYPERLINK("http://tmmp-catalog.com.ua/katalog/16/14374/","фото")</f>
        <v>фото</v>
      </c>
      <c r="H2537" s="22"/>
    </row>
    <row r="2538" spans="1:8" ht="15" x14ac:dyDescent="0.2">
      <c r="A2538" s="18">
        <v>2000000010625</v>
      </c>
      <c r="B2538" s="19" t="s">
        <v>5098</v>
      </c>
      <c r="C2538" s="20" t="s">
        <v>5099</v>
      </c>
      <c r="D2538" s="2">
        <v>0.5</v>
      </c>
      <c r="E2538" s="21"/>
      <c r="F2538" s="2">
        <f t="shared" si="57"/>
        <v>0</v>
      </c>
      <c r="G2538" s="3" t="str">
        <f>HYPERLINK("http://tmmp-catalog.com.ua/katalog/16/14375/","фото")</f>
        <v>фото</v>
      </c>
      <c r="H2538" s="22"/>
    </row>
    <row r="2539" spans="1:8" ht="15" x14ac:dyDescent="0.2">
      <c r="A2539" s="18"/>
      <c r="B2539" s="19" t="s">
        <v>5100</v>
      </c>
      <c r="C2539" s="20" t="s">
        <v>5101</v>
      </c>
      <c r="D2539" s="2">
        <v>0.7</v>
      </c>
      <c r="E2539" s="21"/>
      <c r="F2539" s="2">
        <f t="shared" si="57"/>
        <v>0</v>
      </c>
      <c r="G2539" s="3" t="str">
        <f>HYPERLINK("http://tmmp-catalog.com.ua/katalog/16/17535/","фото")</f>
        <v>фото</v>
      </c>
      <c r="H2539" s="22"/>
    </row>
    <row r="2540" spans="1:8" ht="15" x14ac:dyDescent="0.2">
      <c r="A2540" s="18"/>
      <c r="B2540" s="19" t="s">
        <v>5102</v>
      </c>
      <c r="C2540" s="20" t="s">
        <v>5103</v>
      </c>
      <c r="D2540" s="2">
        <v>0.65</v>
      </c>
      <c r="E2540" s="21"/>
      <c r="F2540" s="2">
        <f t="shared" si="57"/>
        <v>0</v>
      </c>
      <c r="G2540" s="3" t="str">
        <f>HYPERLINK("http://tmmp-catalog.com.ua/katalog/16/18827/","фото")</f>
        <v>фото</v>
      </c>
      <c r="H2540" s="22"/>
    </row>
    <row r="2541" spans="1:8" ht="15" x14ac:dyDescent="0.2">
      <c r="A2541" s="18"/>
      <c r="B2541" s="19" t="s">
        <v>5104</v>
      </c>
      <c r="C2541" s="20" t="s">
        <v>5105</v>
      </c>
      <c r="D2541" s="2">
        <v>0.5</v>
      </c>
      <c r="E2541" s="21"/>
      <c r="F2541" s="2">
        <f t="shared" si="57"/>
        <v>0</v>
      </c>
      <c r="G2541" s="3" t="str">
        <f>HYPERLINK("http://tmmp-catalog.com.ua/katalog/16/17386/","фото")</f>
        <v>фото</v>
      </c>
      <c r="H2541" s="22"/>
    </row>
    <row r="2542" spans="1:8" ht="15" x14ac:dyDescent="0.2">
      <c r="A2542" s="18">
        <v>2000000037523</v>
      </c>
      <c r="B2542" s="19" t="s">
        <v>5106</v>
      </c>
      <c r="C2542" s="20" t="s">
        <v>5107</v>
      </c>
      <c r="D2542" s="2">
        <v>0.35</v>
      </c>
      <c r="E2542" s="21"/>
      <c r="F2542" s="2">
        <f t="shared" si="57"/>
        <v>0</v>
      </c>
      <c r="G2542" s="3" t="str">
        <f>HYPERLINK("http://tmmp-catalog.com.ua/katalog/16/17093/","фото")</f>
        <v>фото</v>
      </c>
      <c r="H2542" s="22"/>
    </row>
    <row r="2543" spans="1:8" ht="15" x14ac:dyDescent="0.2">
      <c r="A2543" s="18"/>
      <c r="B2543" s="19" t="s">
        <v>5108</v>
      </c>
      <c r="C2543" s="20" t="s">
        <v>5109</v>
      </c>
      <c r="D2543" s="2">
        <v>0.45</v>
      </c>
      <c r="E2543" s="21"/>
      <c r="F2543" s="2">
        <f t="shared" si="57"/>
        <v>0</v>
      </c>
      <c r="G2543" s="3" t="str">
        <f>HYPERLINK("http://tmmp-catalog.com.ua/katalog/16/18826/","фото")</f>
        <v>фото</v>
      </c>
      <c r="H2543" s="22"/>
    </row>
    <row r="2544" spans="1:8" ht="15" x14ac:dyDescent="0.2">
      <c r="A2544" s="18">
        <v>2000000010649</v>
      </c>
      <c r="B2544" s="19" t="s">
        <v>5110</v>
      </c>
      <c r="C2544" s="20" t="s">
        <v>5111</v>
      </c>
      <c r="D2544" s="2">
        <v>0.6</v>
      </c>
      <c r="E2544" s="21"/>
      <c r="F2544" s="2">
        <f t="shared" si="57"/>
        <v>0</v>
      </c>
      <c r="G2544" s="3" t="str">
        <f>HYPERLINK("http://tmmp-catalog.com.ua/katalog/16/14377/","фото")</f>
        <v>фото</v>
      </c>
      <c r="H2544" s="22"/>
    </row>
    <row r="2545" spans="1:8" ht="15" x14ac:dyDescent="0.2">
      <c r="A2545" s="18"/>
      <c r="B2545" s="19" t="s">
        <v>5112</v>
      </c>
      <c r="C2545" s="20" t="s">
        <v>5113</v>
      </c>
      <c r="D2545" s="2">
        <v>0.6</v>
      </c>
      <c r="E2545" s="21"/>
      <c r="F2545" s="2">
        <f t="shared" si="57"/>
        <v>0</v>
      </c>
      <c r="G2545" s="3" t="str">
        <f>HYPERLINK("http://tmmp-catalog.com.ua/katalog/16/17387/","фото")</f>
        <v>фото</v>
      </c>
      <c r="H2545" s="22"/>
    </row>
    <row r="2546" spans="1:8" ht="15" x14ac:dyDescent="0.2">
      <c r="A2546" s="18">
        <v>2000000010663</v>
      </c>
      <c r="B2546" s="19" t="s">
        <v>5114</v>
      </c>
      <c r="C2546" s="20" t="s">
        <v>5115</v>
      </c>
      <c r="D2546" s="2">
        <v>0.7</v>
      </c>
      <c r="E2546" s="21"/>
      <c r="F2546" s="2">
        <f t="shared" si="57"/>
        <v>0</v>
      </c>
      <c r="G2546" s="3" t="str">
        <f>HYPERLINK("http://tmmp-catalog.com.ua/katalog/16/14379/","фото")</f>
        <v>фото</v>
      </c>
      <c r="H2546" s="22"/>
    </row>
    <row r="2547" spans="1:8" ht="15" x14ac:dyDescent="0.2">
      <c r="A2547" s="18"/>
      <c r="B2547" s="19" t="s">
        <v>5116</v>
      </c>
      <c r="C2547" s="20" t="s">
        <v>5117</v>
      </c>
      <c r="D2547" s="2">
        <v>1.4</v>
      </c>
      <c r="E2547" s="21"/>
      <c r="F2547" s="2">
        <f t="shared" si="57"/>
        <v>0</v>
      </c>
      <c r="G2547" s="3" t="str">
        <f>HYPERLINK("http://tmmp-catalog.com.ua/katalog/16/17388/","фото")</f>
        <v>фото</v>
      </c>
      <c r="H2547" s="22"/>
    </row>
    <row r="2548" spans="1:8" ht="15" x14ac:dyDescent="0.2">
      <c r="A2548" s="18"/>
      <c r="B2548" s="19" t="s">
        <v>5118</v>
      </c>
      <c r="C2548" s="20" t="s">
        <v>5119</v>
      </c>
      <c r="D2548" s="2">
        <v>1.9</v>
      </c>
      <c r="E2548" s="21"/>
      <c r="F2548" s="2">
        <f t="shared" si="57"/>
        <v>0</v>
      </c>
      <c r="G2548" s="3" t="str">
        <f>HYPERLINK("http://tmmp-catalog.com.ua/katalog/16/17389/","фото")</f>
        <v>фото</v>
      </c>
      <c r="H2548" s="22"/>
    </row>
    <row r="2549" spans="1:8" ht="15" x14ac:dyDescent="0.2">
      <c r="A2549" s="18"/>
      <c r="B2549" s="19" t="s">
        <v>5120</v>
      </c>
      <c r="C2549" s="20" t="s">
        <v>5121</v>
      </c>
      <c r="D2549" s="2">
        <v>0.2</v>
      </c>
      <c r="E2549" s="21"/>
      <c r="F2549" s="2">
        <f t="shared" si="57"/>
        <v>0</v>
      </c>
      <c r="G2549" s="3" t="str">
        <f>HYPERLINK("http://tmmp-catalog.com.ua/katalog/37/18496/","фото")</f>
        <v>фото</v>
      </c>
      <c r="H2549" s="22"/>
    </row>
    <row r="2550" spans="1:8" ht="15" x14ac:dyDescent="0.2">
      <c r="A2550" s="18"/>
      <c r="B2550" s="19" t="s">
        <v>5122</v>
      </c>
      <c r="C2550" s="20" t="s">
        <v>5123</v>
      </c>
      <c r="D2550" s="2">
        <v>1.6</v>
      </c>
      <c r="E2550" s="21"/>
      <c r="F2550" s="2">
        <f t="shared" si="57"/>
        <v>0</v>
      </c>
      <c r="G2550" s="3" t="str">
        <f>HYPERLINK("http://tmmp-catalog.com.ua/katalog/16/17368/","фото")</f>
        <v>фото</v>
      </c>
      <c r="H2550" s="22"/>
    </row>
    <row r="2551" spans="1:8" ht="15" x14ac:dyDescent="0.2">
      <c r="A2551" s="18"/>
      <c r="B2551" s="19" t="s">
        <v>5124</v>
      </c>
      <c r="C2551" s="20" t="s">
        <v>5125</v>
      </c>
      <c r="D2551" s="2">
        <v>3.3</v>
      </c>
      <c r="E2551" s="21"/>
      <c r="F2551" s="2">
        <f t="shared" si="57"/>
        <v>0</v>
      </c>
      <c r="G2551" s="3" t="str">
        <f>HYPERLINK("http://tmmp-catalog.com.ua/katalog/16/17530/","фото")</f>
        <v>фото</v>
      </c>
      <c r="H2551" s="22"/>
    </row>
    <row r="2552" spans="1:8" ht="15" x14ac:dyDescent="0.2">
      <c r="A2552" s="18"/>
      <c r="B2552" s="19" t="s">
        <v>5126</v>
      </c>
      <c r="C2552" s="20" t="s">
        <v>5127</v>
      </c>
      <c r="D2552" s="2">
        <v>0.2</v>
      </c>
      <c r="E2552" s="21"/>
      <c r="F2552" s="2">
        <f t="shared" si="57"/>
        <v>0</v>
      </c>
      <c r="G2552" s="3" t="str">
        <f>HYPERLINK("http://tmmp-catalog.com.ua/katalog/16/17705/","фото")</f>
        <v>фото</v>
      </c>
      <c r="H2552" s="22"/>
    </row>
    <row r="2553" spans="1:8" ht="15" x14ac:dyDescent="0.2">
      <c r="A2553" s="18"/>
      <c r="B2553" s="19" t="s">
        <v>5128</v>
      </c>
      <c r="C2553" s="20" t="s">
        <v>5129</v>
      </c>
      <c r="D2553" s="2">
        <v>0.2</v>
      </c>
      <c r="E2553" s="21"/>
      <c r="F2553" s="2">
        <f t="shared" si="57"/>
        <v>0</v>
      </c>
      <c r="G2553" s="3" t="str">
        <f>HYPERLINK("http://tmmp-catalog.com.ua/katalog/16/17707/","фото")</f>
        <v>фото</v>
      </c>
      <c r="H2553" s="22"/>
    </row>
    <row r="2554" spans="1:8" ht="15" x14ac:dyDescent="0.2">
      <c r="A2554" s="18">
        <v>2000000010700</v>
      </c>
      <c r="B2554" s="19" t="s">
        <v>5130</v>
      </c>
      <c r="C2554" s="20" t="s">
        <v>5131</v>
      </c>
      <c r="D2554" s="2">
        <v>0.2</v>
      </c>
      <c r="E2554" s="21"/>
      <c r="F2554" s="2">
        <f t="shared" si="57"/>
        <v>0</v>
      </c>
      <c r="G2554" s="3" t="str">
        <f>HYPERLINK("http://tmmp-catalog.com.ua/katalog/16/14383/","фото")</f>
        <v>фото</v>
      </c>
      <c r="H2554" s="22"/>
    </row>
    <row r="2555" spans="1:8" ht="15" x14ac:dyDescent="0.2">
      <c r="A2555" s="18"/>
      <c r="B2555" s="19" t="s">
        <v>5132</v>
      </c>
      <c r="C2555" s="20" t="s">
        <v>5133</v>
      </c>
      <c r="D2555" s="2">
        <v>0.8</v>
      </c>
      <c r="E2555" s="21"/>
      <c r="F2555" s="2">
        <f t="shared" si="57"/>
        <v>0</v>
      </c>
      <c r="G2555" s="3" t="str">
        <f>HYPERLINK("http://tmmp-catalog.com.ua/katalog/16/17392/","фото")</f>
        <v>фото</v>
      </c>
      <c r="H2555" s="22"/>
    </row>
    <row r="2556" spans="1:8" ht="15" x14ac:dyDescent="0.2">
      <c r="A2556" s="18">
        <v>2000000010717</v>
      </c>
      <c r="B2556" s="19" t="s">
        <v>5134</v>
      </c>
      <c r="C2556" s="20" t="s">
        <v>5135</v>
      </c>
      <c r="D2556" s="2">
        <v>0.1</v>
      </c>
      <c r="E2556" s="21"/>
      <c r="F2556" s="2">
        <f t="shared" si="57"/>
        <v>0</v>
      </c>
      <c r="G2556" s="3" t="str">
        <f>HYPERLINK("http://tmmp-catalog.com.ua/katalog/16/14384/","фото")</f>
        <v>фото</v>
      </c>
      <c r="H2556" s="22"/>
    </row>
    <row r="2557" spans="1:8" ht="15" x14ac:dyDescent="0.2">
      <c r="A2557" s="18">
        <v>2000000010731</v>
      </c>
      <c r="B2557" s="19" t="s">
        <v>5136</v>
      </c>
      <c r="C2557" s="20" t="s">
        <v>5137</v>
      </c>
      <c r="D2557" s="2">
        <v>0.25</v>
      </c>
      <c r="E2557" s="21"/>
      <c r="F2557" s="2">
        <f t="shared" si="57"/>
        <v>0</v>
      </c>
      <c r="G2557" s="3" t="str">
        <f>HYPERLINK("http://tmmp-catalog.com.ua/katalog/16/14386/","фото")</f>
        <v>фото</v>
      </c>
      <c r="H2557" s="22"/>
    </row>
    <row r="2558" spans="1:8" ht="15" x14ac:dyDescent="0.2">
      <c r="A2558" s="18">
        <v>2000000010724</v>
      </c>
      <c r="B2558" s="19" t="s">
        <v>5138</v>
      </c>
      <c r="C2558" s="20" t="s">
        <v>5139</v>
      </c>
      <c r="D2558" s="2">
        <v>0.25</v>
      </c>
      <c r="E2558" s="21"/>
      <c r="F2558" s="2">
        <f t="shared" si="57"/>
        <v>0</v>
      </c>
      <c r="G2558" s="3" t="str">
        <f>HYPERLINK("http://tmmp-catalog.com.ua/katalog/16/14385/","фото")</f>
        <v>фото</v>
      </c>
      <c r="H2558" s="22"/>
    </row>
    <row r="2559" spans="1:8" ht="15" x14ac:dyDescent="0.2">
      <c r="A2559" s="18"/>
      <c r="B2559" s="19" t="s">
        <v>5140</v>
      </c>
      <c r="C2559" s="20" t="s">
        <v>5141</v>
      </c>
      <c r="D2559" s="2">
        <v>0.5</v>
      </c>
      <c r="E2559" s="21"/>
      <c r="F2559" s="2">
        <f t="shared" si="57"/>
        <v>0</v>
      </c>
      <c r="G2559" s="3" t="str">
        <f>HYPERLINK("http://tmmp-catalog.com.ua/katalog/16/17642/","фото")</f>
        <v>фото</v>
      </c>
      <c r="H2559" s="22"/>
    </row>
    <row r="2560" spans="1:8" ht="15" x14ac:dyDescent="0.2">
      <c r="A2560" s="18">
        <v>2000000035635</v>
      </c>
      <c r="B2560" s="19" t="s">
        <v>5142</v>
      </c>
      <c r="C2560" s="20" t="s">
        <v>5143</v>
      </c>
      <c r="D2560" s="2">
        <v>0.15</v>
      </c>
      <c r="E2560" s="21"/>
      <c r="F2560" s="2">
        <f t="shared" si="57"/>
        <v>0</v>
      </c>
      <c r="G2560" s="3" t="str">
        <f>HYPERLINK("http://tmmp-catalog.com.ua/katalog/16/17096/","фото")</f>
        <v>фото</v>
      </c>
      <c r="H2560" s="22"/>
    </row>
    <row r="2561" spans="1:8" ht="15" x14ac:dyDescent="0.2">
      <c r="A2561" s="18"/>
      <c r="B2561" s="19" t="s">
        <v>5144</v>
      </c>
      <c r="C2561" s="20" t="s">
        <v>5145</v>
      </c>
      <c r="D2561" s="2">
        <v>0.2</v>
      </c>
      <c r="E2561" s="21"/>
      <c r="F2561" s="2">
        <f t="shared" si="57"/>
        <v>0</v>
      </c>
      <c r="G2561" s="3" t="str">
        <f>HYPERLINK("http://tmmp-catalog.com.ua/katalog/37/18785/","фото")</f>
        <v>фото</v>
      </c>
      <c r="H2561" s="22"/>
    </row>
    <row r="2562" spans="1:8" ht="15" x14ac:dyDescent="0.2">
      <c r="A2562" s="18">
        <v>2000000010755</v>
      </c>
      <c r="B2562" s="19" t="s">
        <v>5146</v>
      </c>
      <c r="C2562" s="20" t="s">
        <v>5147</v>
      </c>
      <c r="D2562" s="2">
        <v>3.5</v>
      </c>
      <c r="E2562" s="21"/>
      <c r="F2562" s="2">
        <f t="shared" si="57"/>
        <v>0</v>
      </c>
      <c r="G2562" s="3" t="str">
        <f>HYPERLINK("http://tmmp-catalog.com.ua/katalog/16/14388/","фото")</f>
        <v>фото</v>
      </c>
      <c r="H2562" s="22"/>
    </row>
    <row r="2563" spans="1:8" ht="15" x14ac:dyDescent="0.2">
      <c r="A2563" s="18"/>
      <c r="B2563" s="19" t="s">
        <v>5148</v>
      </c>
      <c r="C2563" s="20" t="s">
        <v>5149</v>
      </c>
      <c r="D2563" s="2">
        <v>9.6999999999999993</v>
      </c>
      <c r="E2563" s="21"/>
      <c r="F2563" s="2">
        <f t="shared" si="57"/>
        <v>0</v>
      </c>
      <c r="G2563" s="3" t="str">
        <f>HYPERLINK("http://tmmp-catalog.com.ua/katalog/16/17393/","фото")</f>
        <v>фото</v>
      </c>
      <c r="H2563" s="22"/>
    </row>
    <row r="2564" spans="1:8" ht="15" x14ac:dyDescent="0.2">
      <c r="A2564" s="18">
        <v>2000000010113</v>
      </c>
      <c r="B2564" s="19" t="s">
        <v>5150</v>
      </c>
      <c r="C2564" s="20" t="s">
        <v>5151</v>
      </c>
      <c r="D2564" s="2">
        <v>1.3</v>
      </c>
      <c r="E2564" s="21"/>
      <c r="F2564" s="2">
        <f t="shared" ref="F2564:F2593" si="58">cena*zakaz</f>
        <v>0</v>
      </c>
      <c r="G2564" s="3" t="str">
        <f>HYPERLINK("http://tmmp-catalog.com.ua/katalog/16/14324/","фото")</f>
        <v>фото</v>
      </c>
      <c r="H2564" s="22"/>
    </row>
    <row r="2565" spans="1:8" ht="15" x14ac:dyDescent="0.2">
      <c r="A2565" s="18">
        <v>2000000010120</v>
      </c>
      <c r="B2565" s="19" t="s">
        <v>5152</v>
      </c>
      <c r="C2565" s="20" t="s">
        <v>5153</v>
      </c>
      <c r="D2565" s="2">
        <v>1.3</v>
      </c>
      <c r="E2565" s="21"/>
      <c r="F2565" s="2">
        <f t="shared" si="58"/>
        <v>0</v>
      </c>
      <c r="G2565" s="3" t="str">
        <f>HYPERLINK("http://tmmp-catalog.com.ua/katalog/16/14325/","фото")</f>
        <v>фото</v>
      </c>
      <c r="H2565" s="22"/>
    </row>
    <row r="2566" spans="1:8" ht="15" x14ac:dyDescent="0.2">
      <c r="A2566" s="18"/>
      <c r="B2566" s="19" t="s">
        <v>5154</v>
      </c>
      <c r="C2566" s="20" t="s">
        <v>5155</v>
      </c>
      <c r="D2566" s="2">
        <v>3.5</v>
      </c>
      <c r="E2566" s="21"/>
      <c r="F2566" s="2">
        <f t="shared" si="58"/>
        <v>0</v>
      </c>
      <c r="G2566" s="3" t="str">
        <f>HYPERLINK("http://tmmp-catalog.com.ua/katalog/16/17394/","фото")</f>
        <v>фото</v>
      </c>
      <c r="H2566" s="22"/>
    </row>
    <row r="2567" spans="1:8" ht="15" x14ac:dyDescent="0.2">
      <c r="A2567" s="18">
        <v>2000000011080</v>
      </c>
      <c r="B2567" s="19" t="s">
        <v>5156</v>
      </c>
      <c r="C2567" s="20" t="s">
        <v>5157</v>
      </c>
      <c r="D2567" s="2">
        <v>0.25</v>
      </c>
      <c r="E2567" s="21"/>
      <c r="F2567" s="2">
        <f t="shared" si="58"/>
        <v>0</v>
      </c>
      <c r="G2567" s="3" t="str">
        <f>HYPERLINK("http://tmmp-catalog.com.ua/katalog/16/16415/","фото")</f>
        <v>фото</v>
      </c>
      <c r="H2567" s="22"/>
    </row>
    <row r="2568" spans="1:8" ht="15" x14ac:dyDescent="0.2">
      <c r="A2568" s="18">
        <v>2000000010830</v>
      </c>
      <c r="B2568" s="19" t="s">
        <v>5158</v>
      </c>
      <c r="C2568" s="20" t="s">
        <v>5159</v>
      </c>
      <c r="D2568" s="2">
        <v>0.2</v>
      </c>
      <c r="E2568" s="21"/>
      <c r="F2568" s="2">
        <f t="shared" si="58"/>
        <v>0</v>
      </c>
      <c r="G2568" s="3" t="str">
        <f>HYPERLINK("http://tmmp-catalog.com.ua/katalog/16/14396/","фото")</f>
        <v>фото</v>
      </c>
      <c r="H2568" s="22"/>
    </row>
    <row r="2569" spans="1:8" ht="15" x14ac:dyDescent="0.2">
      <c r="A2569" s="18">
        <v>2000000010847</v>
      </c>
      <c r="B2569" s="19" t="s">
        <v>5160</v>
      </c>
      <c r="C2569" s="20" t="s">
        <v>5161</v>
      </c>
      <c r="D2569" s="2">
        <v>0.3</v>
      </c>
      <c r="E2569" s="21"/>
      <c r="F2569" s="2">
        <f t="shared" si="58"/>
        <v>0</v>
      </c>
      <c r="G2569" s="3" t="str">
        <f>HYPERLINK("http://tmmp-catalog.com.ua/katalog/16/14397/","фото")</f>
        <v>фото</v>
      </c>
      <c r="H2569" s="22"/>
    </row>
    <row r="2570" spans="1:8" ht="15" x14ac:dyDescent="0.2">
      <c r="A2570" s="18">
        <v>2000000010885</v>
      </c>
      <c r="B2570" s="19" t="s">
        <v>5162</v>
      </c>
      <c r="C2570" s="20" t="s">
        <v>5163</v>
      </c>
      <c r="D2570" s="2">
        <v>0.35</v>
      </c>
      <c r="E2570" s="21"/>
      <c r="F2570" s="2">
        <f t="shared" si="58"/>
        <v>0</v>
      </c>
      <c r="G2570" s="3" t="str">
        <f>HYPERLINK("http://tmmp-catalog.com.ua/katalog/16/14401/","фото")</f>
        <v>фото</v>
      </c>
      <c r="H2570" s="22"/>
    </row>
    <row r="2571" spans="1:8" ht="15" x14ac:dyDescent="0.2">
      <c r="A2571" s="18">
        <v>2000000036199</v>
      </c>
      <c r="B2571" s="19" t="s">
        <v>5164</v>
      </c>
      <c r="C2571" s="20" t="s">
        <v>5165</v>
      </c>
      <c r="D2571" s="2">
        <v>0.15</v>
      </c>
      <c r="E2571" s="21"/>
      <c r="F2571" s="2">
        <f t="shared" si="58"/>
        <v>0</v>
      </c>
      <c r="G2571" s="3" t="str">
        <f>HYPERLINK("http://tmmp-catalog.com.ua/katalog/16/16414/","фото")</f>
        <v>фото</v>
      </c>
      <c r="H2571" s="22"/>
    </row>
    <row r="2572" spans="1:8" ht="15" x14ac:dyDescent="0.2">
      <c r="A2572" s="18">
        <v>2000000010908</v>
      </c>
      <c r="B2572" s="19" t="s">
        <v>5166</v>
      </c>
      <c r="C2572" s="20" t="s">
        <v>5167</v>
      </c>
      <c r="D2572" s="2">
        <v>9.5</v>
      </c>
      <c r="E2572" s="21"/>
      <c r="F2572" s="2">
        <f t="shared" si="58"/>
        <v>0</v>
      </c>
      <c r="G2572" s="3" t="str">
        <f>HYPERLINK("http://tmmp-catalog.com.ua/katalog/16/14403/","фото")</f>
        <v>фото</v>
      </c>
      <c r="H2572" s="22"/>
    </row>
    <row r="2573" spans="1:8" ht="15" x14ac:dyDescent="0.2">
      <c r="A2573" s="18">
        <v>2000000010922</v>
      </c>
      <c r="B2573" s="19" t="s">
        <v>5168</v>
      </c>
      <c r="C2573" s="20" t="s">
        <v>5169</v>
      </c>
      <c r="D2573" s="2">
        <v>13</v>
      </c>
      <c r="E2573" s="21"/>
      <c r="F2573" s="2">
        <f t="shared" si="58"/>
        <v>0</v>
      </c>
      <c r="G2573" s="3" t="str">
        <f>HYPERLINK("http://tmmp-catalog.com.ua/katalog/16/14405/","фото")</f>
        <v>фото</v>
      </c>
      <c r="H2573" s="22"/>
    </row>
    <row r="2574" spans="1:8" ht="15" x14ac:dyDescent="0.2">
      <c r="A2574" s="18">
        <v>2000000010939</v>
      </c>
      <c r="B2574" s="19" t="s">
        <v>5170</v>
      </c>
      <c r="C2574" s="20" t="s">
        <v>5171</v>
      </c>
      <c r="D2574" s="2">
        <v>13</v>
      </c>
      <c r="E2574" s="21"/>
      <c r="F2574" s="2">
        <f t="shared" si="58"/>
        <v>0</v>
      </c>
      <c r="G2574" s="3" t="str">
        <f>HYPERLINK("http://tmmp-catalog.com.ua/katalog/16/14406/","фото")</f>
        <v>фото</v>
      </c>
      <c r="H2574" s="22"/>
    </row>
    <row r="2575" spans="1:8" ht="15" x14ac:dyDescent="0.2">
      <c r="A2575" s="18">
        <v>2000000010953</v>
      </c>
      <c r="B2575" s="19" t="s">
        <v>5172</v>
      </c>
      <c r="C2575" s="20" t="s">
        <v>5173</v>
      </c>
      <c r="D2575" s="2">
        <v>21</v>
      </c>
      <c r="E2575" s="21"/>
      <c r="F2575" s="2">
        <f t="shared" si="58"/>
        <v>0</v>
      </c>
      <c r="G2575" s="3" t="str">
        <f>HYPERLINK("http://tmmp-catalog.com.ua/katalog/16/14408/","фото")</f>
        <v>фото</v>
      </c>
      <c r="H2575" s="22"/>
    </row>
    <row r="2576" spans="1:8" ht="15" x14ac:dyDescent="0.2">
      <c r="A2576" s="18">
        <v>2000000010960</v>
      </c>
      <c r="B2576" s="19" t="s">
        <v>5174</v>
      </c>
      <c r="C2576" s="20" t="s">
        <v>5175</v>
      </c>
      <c r="D2576" s="2">
        <v>18.5</v>
      </c>
      <c r="E2576" s="21"/>
      <c r="F2576" s="2">
        <f t="shared" si="58"/>
        <v>0</v>
      </c>
      <c r="G2576" s="3" t="str">
        <f>HYPERLINK("http://tmmp-catalog.com.ua/katalog/16/14409/","фото")</f>
        <v>фото</v>
      </c>
      <c r="H2576" s="22"/>
    </row>
    <row r="2577" spans="1:8" ht="15" x14ac:dyDescent="0.2">
      <c r="A2577" s="18">
        <v>2000000010892</v>
      </c>
      <c r="B2577" s="19" t="s">
        <v>5176</v>
      </c>
      <c r="C2577" s="20" t="s">
        <v>5177</v>
      </c>
      <c r="D2577" s="2">
        <v>7</v>
      </c>
      <c r="E2577" s="21"/>
      <c r="F2577" s="2">
        <f t="shared" si="58"/>
        <v>0</v>
      </c>
      <c r="G2577" s="3" t="str">
        <f>HYPERLINK("http://tmmp-catalog.com.ua/katalog/16/14402/","фото")</f>
        <v>фото</v>
      </c>
      <c r="H2577" s="22"/>
    </row>
    <row r="2578" spans="1:8" ht="15" x14ac:dyDescent="0.2">
      <c r="A2578" s="18">
        <v>2000000011097</v>
      </c>
      <c r="B2578" s="19" t="s">
        <v>5178</v>
      </c>
      <c r="C2578" s="20" t="s">
        <v>5179</v>
      </c>
      <c r="D2578" s="2">
        <v>0.2</v>
      </c>
      <c r="E2578" s="21"/>
      <c r="F2578" s="2">
        <f t="shared" si="58"/>
        <v>0</v>
      </c>
      <c r="G2578" s="3" t="str">
        <f>HYPERLINK("http://tmmp-catalog.com.ua/katalog/16/16418/","фото")</f>
        <v>фото</v>
      </c>
      <c r="H2578" s="22"/>
    </row>
    <row r="2579" spans="1:8" ht="15" x14ac:dyDescent="0.2">
      <c r="A2579" s="18">
        <v>2000000010991</v>
      </c>
      <c r="B2579" s="19" t="s">
        <v>5180</v>
      </c>
      <c r="C2579" s="20" t="s">
        <v>5181</v>
      </c>
      <c r="D2579" s="2">
        <v>0.2</v>
      </c>
      <c r="E2579" s="21"/>
      <c r="F2579" s="2">
        <f t="shared" si="58"/>
        <v>0</v>
      </c>
      <c r="G2579" s="3" t="str">
        <f>HYPERLINK("http://tmmp-catalog.com.ua/katalog/16/14412/","фото")</f>
        <v>фото</v>
      </c>
      <c r="H2579" s="22"/>
    </row>
    <row r="2580" spans="1:8" ht="15" x14ac:dyDescent="0.2">
      <c r="A2580" s="18">
        <v>2000000011011</v>
      </c>
      <c r="B2580" s="19" t="s">
        <v>5182</v>
      </c>
      <c r="C2580" s="20" t="s">
        <v>5183</v>
      </c>
      <c r="D2580" s="2">
        <v>0.3</v>
      </c>
      <c r="E2580" s="21"/>
      <c r="F2580" s="2">
        <f t="shared" si="58"/>
        <v>0</v>
      </c>
      <c r="G2580" s="3" t="str">
        <f>HYPERLINK("http://tmmp-catalog.com.ua/katalog/16/14414/","фото")</f>
        <v>фото</v>
      </c>
      <c r="H2580" s="22"/>
    </row>
    <row r="2581" spans="1:8" ht="15" x14ac:dyDescent="0.2">
      <c r="A2581" s="18">
        <v>2000000011028</v>
      </c>
      <c r="B2581" s="19" t="s">
        <v>5184</v>
      </c>
      <c r="C2581" s="20" t="s">
        <v>5185</v>
      </c>
      <c r="D2581" s="2">
        <v>0.45</v>
      </c>
      <c r="E2581" s="21"/>
      <c r="F2581" s="2">
        <f t="shared" si="58"/>
        <v>0</v>
      </c>
      <c r="G2581" s="3" t="str">
        <f>HYPERLINK("http://tmmp-catalog.com.ua/katalog/16/14415/","фото")</f>
        <v>фото</v>
      </c>
      <c r="H2581" s="22"/>
    </row>
    <row r="2582" spans="1:8" ht="15" x14ac:dyDescent="0.2">
      <c r="A2582" s="18"/>
      <c r="B2582" s="19" t="s">
        <v>5186</v>
      </c>
      <c r="C2582" s="20" t="s">
        <v>5187</v>
      </c>
      <c r="D2582" s="2">
        <v>0.8</v>
      </c>
      <c r="E2582" s="21"/>
      <c r="F2582" s="2">
        <f t="shared" si="58"/>
        <v>0</v>
      </c>
      <c r="G2582" s="3" t="str">
        <f>HYPERLINK("http://tmmp-catalog.com.ua/katalog/16/17708/","фото")</f>
        <v>фото</v>
      </c>
      <c r="H2582" s="22"/>
    </row>
    <row r="2583" spans="1:8" ht="15" x14ac:dyDescent="0.2">
      <c r="A2583" s="18">
        <v>2000000010489</v>
      </c>
      <c r="B2583" s="19" t="s">
        <v>5188</v>
      </c>
      <c r="C2583" s="20" t="s">
        <v>5189</v>
      </c>
      <c r="D2583" s="2">
        <v>0.25</v>
      </c>
      <c r="E2583" s="21"/>
      <c r="F2583" s="2">
        <f t="shared" si="58"/>
        <v>0</v>
      </c>
      <c r="G2583" s="3" t="str">
        <f>HYPERLINK("http://tmmp-catalog.com.ua/katalog/16/14361/","фото")</f>
        <v>фото</v>
      </c>
      <c r="H2583" s="22"/>
    </row>
    <row r="2584" spans="1:8" ht="15" x14ac:dyDescent="0.2">
      <c r="A2584" s="18">
        <v>2000000010496</v>
      </c>
      <c r="B2584" s="19" t="s">
        <v>5190</v>
      </c>
      <c r="C2584" s="20" t="s">
        <v>5191</v>
      </c>
      <c r="D2584" s="2">
        <v>0.35</v>
      </c>
      <c r="E2584" s="21"/>
      <c r="F2584" s="2">
        <f t="shared" si="58"/>
        <v>0</v>
      </c>
      <c r="G2584" s="3" t="str">
        <f>HYPERLINK("http://tmmp-catalog.com.ua/katalog/16/14362/","фото")</f>
        <v>фото</v>
      </c>
      <c r="H2584" s="22"/>
    </row>
    <row r="2585" spans="1:8" ht="15" x14ac:dyDescent="0.2">
      <c r="A2585" s="18"/>
      <c r="B2585" s="19" t="s">
        <v>5192</v>
      </c>
      <c r="C2585" s="20" t="s">
        <v>5193</v>
      </c>
      <c r="D2585" s="2">
        <v>0.6</v>
      </c>
      <c r="E2585" s="21"/>
      <c r="F2585" s="2">
        <f t="shared" si="58"/>
        <v>0</v>
      </c>
      <c r="G2585" s="3" t="str">
        <f>HYPERLINK("http://tmmp-catalog.com.ua/katalog/16/17361/","фото")</f>
        <v>фото</v>
      </c>
      <c r="H2585" s="22"/>
    </row>
    <row r="2586" spans="1:8" ht="15" x14ac:dyDescent="0.2">
      <c r="A2586" s="18"/>
      <c r="B2586" s="19" t="s">
        <v>5194</v>
      </c>
      <c r="C2586" s="20" t="s">
        <v>5195</v>
      </c>
      <c r="D2586" s="2">
        <v>0.9</v>
      </c>
      <c r="E2586" s="21"/>
      <c r="F2586" s="2">
        <f t="shared" si="58"/>
        <v>0</v>
      </c>
      <c r="G2586" s="3" t="str">
        <f>HYPERLINK("http://tmmp-catalog.com.ua/katalog/16/17362/","фото")</f>
        <v>фото</v>
      </c>
      <c r="H2586" s="22"/>
    </row>
    <row r="2587" spans="1:8" ht="15" x14ac:dyDescent="0.2">
      <c r="A2587" s="18">
        <v>2000000011042</v>
      </c>
      <c r="B2587" s="19" t="s">
        <v>5196</v>
      </c>
      <c r="C2587" s="20" t="s">
        <v>5197</v>
      </c>
      <c r="D2587" s="2">
        <v>0.35</v>
      </c>
      <c r="E2587" s="21"/>
      <c r="F2587" s="2">
        <f t="shared" si="58"/>
        <v>0</v>
      </c>
      <c r="G2587" s="3" t="str">
        <f>HYPERLINK("http://tmmp-catalog.com.ua/katalog/16/14417/","фото")</f>
        <v>фото</v>
      </c>
      <c r="H2587" s="22"/>
    </row>
    <row r="2588" spans="1:8" ht="15" x14ac:dyDescent="0.2">
      <c r="A2588" s="18"/>
      <c r="B2588" s="19" t="s">
        <v>5198</v>
      </c>
      <c r="C2588" s="20" t="s">
        <v>5199</v>
      </c>
      <c r="D2588" s="2">
        <v>0.1</v>
      </c>
      <c r="E2588" s="21"/>
      <c r="F2588" s="2">
        <f t="shared" si="58"/>
        <v>0</v>
      </c>
      <c r="G2588" s="3" t="str">
        <f>HYPERLINK("http://tmmp-catalog.com.ua/katalog/16/17339/","фото")</f>
        <v>фото</v>
      </c>
      <c r="H2588" s="22"/>
    </row>
    <row r="2589" spans="1:8" ht="15" x14ac:dyDescent="0.2">
      <c r="A2589" s="18"/>
      <c r="B2589" s="19" t="s">
        <v>5200</v>
      </c>
      <c r="C2589" s="20" t="s">
        <v>5201</v>
      </c>
      <c r="D2589" s="2">
        <v>0.15</v>
      </c>
      <c r="E2589" s="21"/>
      <c r="F2589" s="2">
        <f t="shared" si="58"/>
        <v>0</v>
      </c>
      <c r="G2589" s="3" t="str">
        <f>HYPERLINK("http://tmmp-catalog.com.ua/katalog/16/17709/","фото")</f>
        <v>фото</v>
      </c>
      <c r="H2589" s="22"/>
    </row>
    <row r="2590" spans="1:8" ht="15" x14ac:dyDescent="0.2">
      <c r="A2590" s="18">
        <v>2000000010861</v>
      </c>
      <c r="B2590" s="19" t="s">
        <v>5202</v>
      </c>
      <c r="C2590" s="20" t="s">
        <v>5203</v>
      </c>
      <c r="D2590" s="2">
        <v>0.35</v>
      </c>
      <c r="E2590" s="21"/>
      <c r="F2590" s="2">
        <f t="shared" si="58"/>
        <v>0</v>
      </c>
      <c r="G2590" s="3" t="str">
        <f>HYPERLINK("http://tmmp-catalog.com.ua/katalog/16/14399/","фото")</f>
        <v>фото</v>
      </c>
      <c r="H2590" s="22"/>
    </row>
    <row r="2591" spans="1:8" ht="15" x14ac:dyDescent="0.2">
      <c r="A2591" s="18"/>
      <c r="B2591" s="19" t="s">
        <v>5204</v>
      </c>
      <c r="C2591" s="20" t="s">
        <v>5205</v>
      </c>
      <c r="D2591" s="2">
        <v>0.35</v>
      </c>
      <c r="E2591" s="21"/>
      <c r="F2591" s="2">
        <f t="shared" si="58"/>
        <v>0</v>
      </c>
      <c r="G2591" s="3" t="str">
        <f>HYPERLINK("http://tmmp-catalog.com.ua/katalog/16/18174/","фото")</f>
        <v>фото</v>
      </c>
      <c r="H2591" s="22"/>
    </row>
    <row r="2592" spans="1:8" ht="15" x14ac:dyDescent="0.2">
      <c r="A2592" s="18">
        <v>2000000010878</v>
      </c>
      <c r="B2592" s="19" t="s">
        <v>5206</v>
      </c>
      <c r="C2592" s="20" t="s">
        <v>5207</v>
      </c>
      <c r="D2592" s="2">
        <v>0.5</v>
      </c>
      <c r="E2592" s="21"/>
      <c r="F2592" s="2">
        <f t="shared" si="58"/>
        <v>0</v>
      </c>
      <c r="G2592" s="3" t="str">
        <f>HYPERLINK("http://tmmp-catalog.com.ua/katalog/16/14400/","фото")</f>
        <v>фото</v>
      </c>
      <c r="H2592" s="22"/>
    </row>
    <row r="2593" spans="1:8" ht="15" x14ac:dyDescent="0.2">
      <c r="A2593" s="18"/>
      <c r="B2593" s="19" t="s">
        <v>5208</v>
      </c>
      <c r="C2593" s="20" t="s">
        <v>5209</v>
      </c>
      <c r="D2593" s="2">
        <v>0.5</v>
      </c>
      <c r="E2593" s="21"/>
      <c r="F2593" s="2">
        <f t="shared" si="58"/>
        <v>0</v>
      </c>
      <c r="G2593" s="3" t="str">
        <f>HYPERLINK("http://tmmp-catalog.com.ua/katalog/16/17395/","фото")</f>
        <v>фото</v>
      </c>
      <c r="H2593" s="22"/>
    </row>
    <row r="2594" spans="1:8" ht="23.25" x14ac:dyDescent="0.2">
      <c r="A2594" s="18"/>
      <c r="B2594" s="51"/>
      <c r="C2594" s="56" t="s">
        <v>32</v>
      </c>
      <c r="D2594" s="52"/>
      <c r="E2594" s="53"/>
      <c r="F2594" s="52"/>
      <c r="G2594" s="54"/>
      <c r="H2594" s="55"/>
    </row>
    <row r="2595" spans="1:8" ht="15" x14ac:dyDescent="0.2">
      <c r="A2595" s="18"/>
      <c r="B2595" s="19" t="s">
        <v>5210</v>
      </c>
      <c r="C2595" s="20" t="s">
        <v>5211</v>
      </c>
      <c r="D2595" s="2">
        <v>1.8</v>
      </c>
      <c r="E2595" s="21"/>
      <c r="F2595" s="2">
        <f t="shared" ref="F2595:F2626" si="59">cena*zakaz</f>
        <v>0</v>
      </c>
      <c r="G2595" s="3" t="str">
        <f>HYPERLINK("http://tmmp-catalog.com.ua/katalog/21/17397/","фото")</f>
        <v>фото</v>
      </c>
      <c r="H2595" s="22"/>
    </row>
    <row r="2596" spans="1:8" ht="15" x14ac:dyDescent="0.2">
      <c r="A2596" s="18"/>
      <c r="B2596" s="19" t="s">
        <v>5212</v>
      </c>
      <c r="C2596" s="20" t="s">
        <v>5213</v>
      </c>
      <c r="D2596" s="2">
        <v>2.5</v>
      </c>
      <c r="E2596" s="21"/>
      <c r="F2596" s="2">
        <f t="shared" si="59"/>
        <v>0</v>
      </c>
      <c r="G2596" s="3" t="str">
        <f>HYPERLINK("http://tmmp-catalog.com.ua/katalog/21/17476/","фото")</f>
        <v>фото</v>
      </c>
      <c r="H2596" s="22"/>
    </row>
    <row r="2597" spans="1:8" ht="15" x14ac:dyDescent="0.2">
      <c r="A2597" s="18"/>
      <c r="B2597" s="19" t="s">
        <v>5214</v>
      </c>
      <c r="C2597" s="20" t="s">
        <v>5215</v>
      </c>
      <c r="D2597" s="2">
        <v>2.95</v>
      </c>
      <c r="E2597" s="21"/>
      <c r="F2597" s="2">
        <f t="shared" si="59"/>
        <v>0</v>
      </c>
      <c r="G2597" s="3" t="str">
        <f>HYPERLINK("http://tmmp-catalog.com.ua/katalog/21/17398/","фото")</f>
        <v>фото</v>
      </c>
      <c r="H2597" s="22"/>
    </row>
    <row r="2598" spans="1:8" ht="15" x14ac:dyDescent="0.2">
      <c r="A2598" s="18"/>
      <c r="B2598" s="19" t="s">
        <v>5216</v>
      </c>
      <c r="C2598" s="20" t="s">
        <v>5217</v>
      </c>
      <c r="D2598" s="2">
        <v>1.8</v>
      </c>
      <c r="E2598" s="21"/>
      <c r="F2598" s="2">
        <f t="shared" si="59"/>
        <v>0</v>
      </c>
      <c r="G2598" s="3" t="str">
        <f>HYPERLINK("http://tmmp-catalog.com.ua/katalog/21/17399/","фото")</f>
        <v>фото</v>
      </c>
      <c r="H2598" s="22"/>
    </row>
    <row r="2599" spans="1:8" ht="15" x14ac:dyDescent="0.2">
      <c r="A2599" s="18">
        <v>2000000016566</v>
      </c>
      <c r="B2599" s="19" t="s">
        <v>5218</v>
      </c>
      <c r="C2599" s="20" t="s">
        <v>5219</v>
      </c>
      <c r="D2599" s="2">
        <v>0.5</v>
      </c>
      <c r="E2599" s="21"/>
      <c r="F2599" s="2">
        <f t="shared" si="59"/>
        <v>0</v>
      </c>
      <c r="G2599" s="3" t="str">
        <f>HYPERLINK("http://tmmp-catalog.com.ua/katalog/21/13959/","фото")</f>
        <v>фото</v>
      </c>
      <c r="H2599" s="22"/>
    </row>
    <row r="2600" spans="1:8" ht="15" x14ac:dyDescent="0.2">
      <c r="A2600" s="18"/>
      <c r="B2600" s="19" t="s">
        <v>5220</v>
      </c>
      <c r="C2600" s="20" t="s">
        <v>5221</v>
      </c>
      <c r="D2600" s="2">
        <v>0.8</v>
      </c>
      <c r="E2600" s="21"/>
      <c r="F2600" s="2">
        <f t="shared" si="59"/>
        <v>0</v>
      </c>
      <c r="G2600" s="3" t="str">
        <f>HYPERLINK("http://tmmp-catalog.com.ua/katalog/21/17543/","фото")</f>
        <v>фото</v>
      </c>
      <c r="H2600" s="22"/>
    </row>
    <row r="2601" spans="1:8" ht="15" x14ac:dyDescent="0.2">
      <c r="A2601" s="18">
        <v>2000000016580</v>
      </c>
      <c r="B2601" s="19" t="s">
        <v>5222</v>
      </c>
      <c r="C2601" s="20" t="s">
        <v>5223</v>
      </c>
      <c r="D2601" s="2">
        <v>0.1</v>
      </c>
      <c r="E2601" s="21"/>
      <c r="F2601" s="2">
        <f t="shared" si="59"/>
        <v>0</v>
      </c>
      <c r="G2601" s="3" t="str">
        <f>HYPERLINK("http://tmmp-catalog.com.ua/katalog/21/13961/","фото")</f>
        <v>фото</v>
      </c>
      <c r="H2601" s="22"/>
    </row>
    <row r="2602" spans="1:8" ht="15" x14ac:dyDescent="0.2">
      <c r="A2602" s="18">
        <v>2000000016597</v>
      </c>
      <c r="B2602" s="19" t="s">
        <v>5224</v>
      </c>
      <c r="C2602" s="20" t="s">
        <v>5225</v>
      </c>
      <c r="D2602" s="2">
        <v>4.5</v>
      </c>
      <c r="E2602" s="21"/>
      <c r="F2602" s="2">
        <f t="shared" si="59"/>
        <v>0</v>
      </c>
      <c r="G2602" s="3" t="str">
        <f>HYPERLINK("http://tmmp-catalog.com.ua/katalog/21/13962/","фото")</f>
        <v>фото</v>
      </c>
      <c r="H2602" s="22"/>
    </row>
    <row r="2603" spans="1:8" ht="15" x14ac:dyDescent="0.2">
      <c r="A2603" s="18"/>
      <c r="B2603" s="19" t="s">
        <v>5226</v>
      </c>
      <c r="C2603" s="20" t="s">
        <v>5227</v>
      </c>
      <c r="D2603" s="2">
        <v>6</v>
      </c>
      <c r="E2603" s="21"/>
      <c r="F2603" s="2">
        <f t="shared" si="59"/>
        <v>0</v>
      </c>
      <c r="G2603" s="3" t="str">
        <f>HYPERLINK("http://tmmp-catalog.com.ua/katalog/21/18810/","фото")</f>
        <v>фото</v>
      </c>
      <c r="H2603" s="22"/>
    </row>
    <row r="2604" spans="1:8" ht="15" x14ac:dyDescent="0.2">
      <c r="A2604" s="18"/>
      <c r="B2604" s="19" t="s">
        <v>5228</v>
      </c>
      <c r="C2604" s="20" t="s">
        <v>5229</v>
      </c>
      <c r="D2604" s="2">
        <v>18.5</v>
      </c>
      <c r="E2604" s="21"/>
      <c r="F2604" s="2">
        <f t="shared" si="59"/>
        <v>0</v>
      </c>
      <c r="G2604" s="3" t="str">
        <f>HYPERLINK("http://tmmp-catalog.com.ua/katalog/21/17400/","фото")</f>
        <v>фото</v>
      </c>
      <c r="H2604" s="22"/>
    </row>
    <row r="2605" spans="1:8" ht="15" x14ac:dyDescent="0.2">
      <c r="A2605" s="18">
        <v>2000000016610</v>
      </c>
      <c r="B2605" s="19" t="s">
        <v>5230</v>
      </c>
      <c r="C2605" s="20" t="s">
        <v>5231</v>
      </c>
      <c r="D2605" s="2">
        <v>14.9</v>
      </c>
      <c r="E2605" s="21"/>
      <c r="F2605" s="2">
        <f t="shared" si="59"/>
        <v>0</v>
      </c>
      <c r="G2605" s="3" t="str">
        <f>HYPERLINK("http://tmmp-catalog.com.ua/katalog/21/13964/","фото")</f>
        <v>фото</v>
      </c>
      <c r="H2605" s="22"/>
    </row>
    <row r="2606" spans="1:8" ht="15" x14ac:dyDescent="0.2">
      <c r="A2606" s="18">
        <v>2000000016627</v>
      </c>
      <c r="B2606" s="19" t="s">
        <v>5232</v>
      </c>
      <c r="C2606" s="20" t="s">
        <v>5233</v>
      </c>
      <c r="D2606" s="2">
        <v>28</v>
      </c>
      <c r="E2606" s="21"/>
      <c r="F2606" s="2">
        <f t="shared" si="59"/>
        <v>0</v>
      </c>
      <c r="G2606" s="3" t="str">
        <f>HYPERLINK("http://tmmp-catalog.com.ua/katalog/21/13965/","фото")</f>
        <v>фото</v>
      </c>
      <c r="H2606" s="22"/>
    </row>
    <row r="2607" spans="1:8" ht="15" x14ac:dyDescent="0.2">
      <c r="A2607" s="18">
        <v>2000000016634</v>
      </c>
      <c r="B2607" s="19" t="s">
        <v>5234</v>
      </c>
      <c r="C2607" s="20" t="s">
        <v>5235</v>
      </c>
      <c r="D2607" s="2">
        <v>6.6</v>
      </c>
      <c r="E2607" s="21"/>
      <c r="F2607" s="2">
        <f t="shared" si="59"/>
        <v>0</v>
      </c>
      <c r="G2607" s="3" t="str">
        <f>HYPERLINK("http://tmmp-catalog.com.ua/katalog/21/13966/","фото")</f>
        <v>фото</v>
      </c>
      <c r="H2607" s="22"/>
    </row>
    <row r="2608" spans="1:8" ht="15" x14ac:dyDescent="0.2">
      <c r="A2608" s="18"/>
      <c r="B2608" s="19" t="s">
        <v>5236</v>
      </c>
      <c r="C2608" s="20" t="s">
        <v>5237</v>
      </c>
      <c r="D2608" s="2">
        <v>7.3</v>
      </c>
      <c r="E2608" s="21"/>
      <c r="F2608" s="2">
        <f t="shared" si="59"/>
        <v>0</v>
      </c>
      <c r="G2608" s="3" t="str">
        <f>HYPERLINK("http://tmmp-catalog.com.ua/katalog/21/17645/","фото")</f>
        <v>фото</v>
      </c>
      <c r="H2608" s="22"/>
    </row>
    <row r="2609" spans="1:8" ht="15" x14ac:dyDescent="0.2">
      <c r="A2609" s="18"/>
      <c r="B2609" s="19" t="s">
        <v>5238</v>
      </c>
      <c r="C2609" s="20" t="s">
        <v>5239</v>
      </c>
      <c r="D2609" s="2">
        <v>7.1</v>
      </c>
      <c r="E2609" s="21"/>
      <c r="F2609" s="2">
        <f t="shared" si="59"/>
        <v>0</v>
      </c>
      <c r="G2609" s="3" t="str">
        <f>HYPERLINK("http://tmmp-catalog.com.ua/katalog/21/17478/","фото")</f>
        <v>фото</v>
      </c>
      <c r="H2609" s="22"/>
    </row>
    <row r="2610" spans="1:8" ht="15" x14ac:dyDescent="0.2">
      <c r="A2610" s="18">
        <v>2000000016689</v>
      </c>
      <c r="B2610" s="19" t="s">
        <v>5240</v>
      </c>
      <c r="C2610" s="20" t="s">
        <v>5241</v>
      </c>
      <c r="D2610" s="2">
        <v>0.4</v>
      </c>
      <c r="E2610" s="21"/>
      <c r="F2610" s="2">
        <f t="shared" si="59"/>
        <v>0</v>
      </c>
      <c r="G2610" s="3" t="str">
        <f>HYPERLINK("http://tmmp-catalog.com.ua/katalog/21/13971/","фото")</f>
        <v>фото</v>
      </c>
      <c r="H2610" s="22"/>
    </row>
    <row r="2611" spans="1:8" ht="15" x14ac:dyDescent="0.2">
      <c r="A2611" s="18">
        <v>2000000016696</v>
      </c>
      <c r="B2611" s="19" t="s">
        <v>5242</v>
      </c>
      <c r="C2611" s="20" t="s">
        <v>5243</v>
      </c>
      <c r="D2611" s="2">
        <v>0.55000000000000004</v>
      </c>
      <c r="E2611" s="21"/>
      <c r="F2611" s="2">
        <f t="shared" si="59"/>
        <v>0</v>
      </c>
      <c r="G2611" s="3" t="str">
        <f>HYPERLINK("http://tmmp-catalog.com.ua/katalog/21/13972/","фото")</f>
        <v>фото</v>
      </c>
      <c r="H2611" s="22"/>
    </row>
    <row r="2612" spans="1:8" ht="15" x14ac:dyDescent="0.2">
      <c r="A2612" s="18"/>
      <c r="B2612" s="19" t="s">
        <v>5244</v>
      </c>
      <c r="C2612" s="20" t="s">
        <v>5245</v>
      </c>
      <c r="D2612" s="2">
        <v>0.6</v>
      </c>
      <c r="E2612" s="21"/>
      <c r="F2612" s="2">
        <f t="shared" si="59"/>
        <v>0</v>
      </c>
      <c r="G2612" s="3" t="str">
        <f>HYPERLINK("http://tmmp-catalog.com.ua/katalog/21/17401/","фото")</f>
        <v>фото</v>
      </c>
      <c r="H2612" s="22"/>
    </row>
    <row r="2613" spans="1:8" ht="15" x14ac:dyDescent="0.2">
      <c r="A2613" s="18">
        <v>2000000016702</v>
      </c>
      <c r="B2613" s="19" t="s">
        <v>5246</v>
      </c>
      <c r="C2613" s="20" t="s">
        <v>5247</v>
      </c>
      <c r="D2613" s="2">
        <v>4.2</v>
      </c>
      <c r="E2613" s="21"/>
      <c r="F2613" s="2">
        <f t="shared" si="59"/>
        <v>0</v>
      </c>
      <c r="G2613" s="3" t="str">
        <f>HYPERLINK("http://tmmp-catalog.com.ua/katalog/21/13973/","фото")</f>
        <v>фото</v>
      </c>
      <c r="H2613" s="22"/>
    </row>
    <row r="2614" spans="1:8" ht="15" x14ac:dyDescent="0.2">
      <c r="A2614" s="18"/>
      <c r="B2614" s="19" t="s">
        <v>5248</v>
      </c>
      <c r="C2614" s="20" t="s">
        <v>5249</v>
      </c>
      <c r="D2614" s="2">
        <v>7</v>
      </c>
      <c r="E2614" s="21"/>
      <c r="F2614" s="2">
        <f t="shared" si="59"/>
        <v>0</v>
      </c>
      <c r="G2614" s="3" t="str">
        <f>HYPERLINK("http://tmmp-catalog.com.ua/katalog/21/17402/","фото")</f>
        <v>фото</v>
      </c>
      <c r="H2614" s="22"/>
    </row>
    <row r="2615" spans="1:8" ht="15" x14ac:dyDescent="0.2">
      <c r="A2615" s="18">
        <v>2000000016719</v>
      </c>
      <c r="B2615" s="19" t="s">
        <v>5250</v>
      </c>
      <c r="C2615" s="20" t="s">
        <v>5251</v>
      </c>
      <c r="D2615" s="2">
        <v>11</v>
      </c>
      <c r="E2615" s="21"/>
      <c r="F2615" s="2">
        <f t="shared" si="59"/>
        <v>0</v>
      </c>
      <c r="G2615" s="3" t="str">
        <f>HYPERLINK("http://tmmp-catalog.com.ua/katalog/21/13974/","фото")</f>
        <v>фото</v>
      </c>
      <c r="H2615" s="22"/>
    </row>
    <row r="2616" spans="1:8" ht="15" x14ac:dyDescent="0.2">
      <c r="A2616" s="18">
        <v>2000000016726</v>
      </c>
      <c r="B2616" s="19" t="s">
        <v>5252</v>
      </c>
      <c r="C2616" s="20" t="s">
        <v>5253</v>
      </c>
      <c r="D2616" s="2">
        <v>0.4</v>
      </c>
      <c r="E2616" s="21"/>
      <c r="F2616" s="2">
        <f t="shared" si="59"/>
        <v>0</v>
      </c>
      <c r="G2616" s="3" t="str">
        <f>HYPERLINK("http://tmmp-catalog.com.ua/katalog/21/13975/","фото")</f>
        <v>фото</v>
      </c>
      <c r="H2616" s="22"/>
    </row>
    <row r="2617" spans="1:8" ht="15" x14ac:dyDescent="0.2">
      <c r="A2617" s="18">
        <v>2000000017174</v>
      </c>
      <c r="B2617" s="19" t="s">
        <v>5254</v>
      </c>
      <c r="C2617" s="20" t="s">
        <v>5255</v>
      </c>
      <c r="D2617" s="2">
        <v>2.15</v>
      </c>
      <c r="E2617" s="21"/>
      <c r="F2617" s="2">
        <f t="shared" si="59"/>
        <v>0</v>
      </c>
      <c r="G2617" s="3" t="str">
        <f>HYPERLINK("http://tmmp-catalog.com.ua/katalog/21/14020/","фото")</f>
        <v>фото</v>
      </c>
      <c r="H2617" s="22"/>
    </row>
    <row r="2618" spans="1:8" ht="15" x14ac:dyDescent="0.2">
      <c r="A2618" s="18"/>
      <c r="B2618" s="19" t="s">
        <v>5256</v>
      </c>
      <c r="C2618" s="20" t="s">
        <v>5257</v>
      </c>
      <c r="D2618" s="2">
        <v>1.8</v>
      </c>
      <c r="E2618" s="21"/>
      <c r="F2618" s="2">
        <f t="shared" si="59"/>
        <v>0</v>
      </c>
      <c r="G2618" s="3" t="str">
        <f>HYPERLINK("http://tmmp-catalog.com.ua/katalog/21/17553/","фото")</f>
        <v>фото</v>
      </c>
      <c r="H2618" s="22"/>
    </row>
    <row r="2619" spans="1:8" ht="15" x14ac:dyDescent="0.2">
      <c r="A2619" s="18">
        <v>2000000017198</v>
      </c>
      <c r="B2619" s="19" t="s">
        <v>5258</v>
      </c>
      <c r="C2619" s="20" t="s">
        <v>5259</v>
      </c>
      <c r="D2619" s="2">
        <v>1.6</v>
      </c>
      <c r="E2619" s="21"/>
      <c r="F2619" s="2">
        <f t="shared" si="59"/>
        <v>0</v>
      </c>
      <c r="G2619" s="3" t="str">
        <f>HYPERLINK("http://tmmp-catalog.com.ua/katalog/21/14022/","фото")</f>
        <v>фото</v>
      </c>
      <c r="H2619" s="22"/>
    </row>
    <row r="2620" spans="1:8" ht="15" x14ac:dyDescent="0.2">
      <c r="A2620" s="18">
        <v>2000000016948</v>
      </c>
      <c r="B2620" s="19" t="s">
        <v>5260</v>
      </c>
      <c r="C2620" s="20" t="s">
        <v>5261</v>
      </c>
      <c r="D2620" s="2">
        <v>0.3</v>
      </c>
      <c r="E2620" s="21"/>
      <c r="F2620" s="2">
        <f t="shared" si="59"/>
        <v>0</v>
      </c>
      <c r="G2620" s="3" t="str">
        <f>HYPERLINK("http://tmmp-catalog.com.ua/katalog/21/13997/","фото")</f>
        <v>фото</v>
      </c>
      <c r="H2620" s="22"/>
    </row>
    <row r="2621" spans="1:8" ht="15" x14ac:dyDescent="0.2">
      <c r="A2621" s="18">
        <v>2000000016955</v>
      </c>
      <c r="B2621" s="19" t="s">
        <v>5262</v>
      </c>
      <c r="C2621" s="20" t="s">
        <v>5263</v>
      </c>
      <c r="D2621" s="2">
        <v>0.7</v>
      </c>
      <c r="E2621" s="21"/>
      <c r="F2621" s="2">
        <f t="shared" si="59"/>
        <v>0</v>
      </c>
      <c r="G2621" s="3" t="str">
        <f>HYPERLINK("http://tmmp-catalog.com.ua/katalog/21/13998/","фото")</f>
        <v>фото</v>
      </c>
      <c r="H2621" s="22"/>
    </row>
    <row r="2622" spans="1:8" ht="15" x14ac:dyDescent="0.2">
      <c r="A2622" s="18"/>
      <c r="B2622" s="19" t="s">
        <v>5264</v>
      </c>
      <c r="C2622" s="20" t="s">
        <v>5265</v>
      </c>
      <c r="D2622" s="2">
        <v>0.8</v>
      </c>
      <c r="E2622" s="21"/>
      <c r="F2622" s="2">
        <f t="shared" si="59"/>
        <v>0</v>
      </c>
      <c r="G2622" s="3" t="str">
        <f>HYPERLINK("http://tmmp-catalog.com.ua/katalog/21/17403/","фото")</f>
        <v>фото</v>
      </c>
      <c r="H2622" s="22"/>
    </row>
    <row r="2623" spans="1:8" ht="15" x14ac:dyDescent="0.2">
      <c r="A2623" s="18"/>
      <c r="B2623" s="19" t="s">
        <v>5266</v>
      </c>
      <c r="C2623" s="20" t="s">
        <v>5267</v>
      </c>
      <c r="D2623" s="2">
        <v>3.25</v>
      </c>
      <c r="E2623" s="21"/>
      <c r="F2623" s="2">
        <f t="shared" si="59"/>
        <v>0</v>
      </c>
      <c r="G2623" s="3" t="str">
        <f>HYPERLINK("http://tmmp-catalog.com.ua/katalog/21/17479/","фото")</f>
        <v>фото</v>
      </c>
      <c r="H2623" s="22"/>
    </row>
    <row r="2624" spans="1:8" ht="15" x14ac:dyDescent="0.2">
      <c r="A2624" s="18"/>
      <c r="B2624" s="19" t="s">
        <v>5268</v>
      </c>
      <c r="C2624" s="20" t="s">
        <v>5269</v>
      </c>
      <c r="D2624" s="2">
        <v>5.2</v>
      </c>
      <c r="E2624" s="21"/>
      <c r="F2624" s="2">
        <f t="shared" si="59"/>
        <v>0</v>
      </c>
      <c r="G2624" s="3" t="str">
        <f>HYPERLINK("http://tmmp-catalog.com.ua/katalog/21/17480/","фото")</f>
        <v>фото</v>
      </c>
      <c r="H2624" s="22"/>
    </row>
    <row r="2625" spans="1:8" ht="15" x14ac:dyDescent="0.2">
      <c r="A2625" s="18">
        <v>2000000016979</v>
      </c>
      <c r="B2625" s="19" t="s">
        <v>5270</v>
      </c>
      <c r="C2625" s="20" t="s">
        <v>5271</v>
      </c>
      <c r="D2625" s="2">
        <v>0.3</v>
      </c>
      <c r="E2625" s="21"/>
      <c r="F2625" s="2">
        <f t="shared" si="59"/>
        <v>0</v>
      </c>
      <c r="G2625" s="3" t="str">
        <f>HYPERLINK("http://tmmp-catalog.com.ua/katalog/21/14000/","фото")</f>
        <v>фото</v>
      </c>
      <c r="H2625" s="22"/>
    </row>
    <row r="2626" spans="1:8" ht="15" x14ac:dyDescent="0.2">
      <c r="A2626" s="18">
        <v>2000000016986</v>
      </c>
      <c r="B2626" s="19" t="s">
        <v>5272</v>
      </c>
      <c r="C2626" s="20" t="s">
        <v>5273</v>
      </c>
      <c r="D2626" s="2">
        <v>0.75</v>
      </c>
      <c r="E2626" s="21"/>
      <c r="F2626" s="2">
        <f t="shared" si="59"/>
        <v>0</v>
      </c>
      <c r="G2626" s="3" t="str">
        <f>HYPERLINK("http://tmmp-catalog.com.ua/katalog/21/14001/","фото")</f>
        <v>фото</v>
      </c>
      <c r="H2626" s="22"/>
    </row>
    <row r="2627" spans="1:8" ht="15" x14ac:dyDescent="0.2">
      <c r="A2627" s="18">
        <v>2000000016764</v>
      </c>
      <c r="B2627" s="19" t="s">
        <v>5274</v>
      </c>
      <c r="C2627" s="20" t="s">
        <v>5275</v>
      </c>
      <c r="D2627" s="2">
        <v>7.7</v>
      </c>
      <c r="E2627" s="21"/>
      <c r="F2627" s="2">
        <f t="shared" ref="F2627:F2658" si="60">cena*zakaz</f>
        <v>0</v>
      </c>
      <c r="G2627" s="3" t="str">
        <f>HYPERLINK("http://tmmp-catalog.com.ua/katalog/21/13979/","фото")</f>
        <v>фото</v>
      </c>
      <c r="H2627" s="22"/>
    </row>
    <row r="2628" spans="1:8" ht="15" x14ac:dyDescent="0.2">
      <c r="A2628" s="18"/>
      <c r="B2628" s="19" t="s">
        <v>5276</v>
      </c>
      <c r="C2628" s="20" t="s">
        <v>5277</v>
      </c>
      <c r="D2628" s="2">
        <v>5</v>
      </c>
      <c r="E2628" s="21"/>
      <c r="F2628" s="2">
        <f t="shared" si="60"/>
        <v>0</v>
      </c>
      <c r="G2628" s="3" t="str">
        <f>HYPERLINK("http://tmmp-catalog.com.ua/katalog/21/17544/","фото")</f>
        <v>фото</v>
      </c>
      <c r="H2628" s="22"/>
    </row>
    <row r="2629" spans="1:8" ht="15" x14ac:dyDescent="0.2">
      <c r="A2629" s="18">
        <v>2000000016771</v>
      </c>
      <c r="B2629" s="19" t="s">
        <v>5278</v>
      </c>
      <c r="C2629" s="20" t="s">
        <v>5279</v>
      </c>
      <c r="D2629" s="2">
        <v>1.1000000000000001</v>
      </c>
      <c r="E2629" s="21"/>
      <c r="F2629" s="2">
        <f t="shared" si="60"/>
        <v>0</v>
      </c>
      <c r="G2629" s="3" t="str">
        <f>HYPERLINK("http://tmmp-catalog.com.ua/katalog/21/13980/","фото")</f>
        <v>фото</v>
      </c>
      <c r="H2629" s="22"/>
    </row>
    <row r="2630" spans="1:8" ht="15" x14ac:dyDescent="0.2">
      <c r="A2630" s="18"/>
      <c r="B2630" s="19" t="s">
        <v>5280</v>
      </c>
      <c r="C2630" s="20" t="s">
        <v>5281</v>
      </c>
      <c r="D2630" s="2">
        <v>2.5</v>
      </c>
      <c r="E2630" s="21"/>
      <c r="F2630" s="2">
        <f t="shared" si="60"/>
        <v>0</v>
      </c>
      <c r="G2630" s="3" t="str">
        <f>HYPERLINK("http://tmmp-catalog.com.ua/katalog/21/17644/","фото")</f>
        <v>фото</v>
      </c>
      <c r="H2630" s="22"/>
    </row>
    <row r="2631" spans="1:8" ht="15" x14ac:dyDescent="0.2">
      <c r="A2631" s="18">
        <v>2000000016788</v>
      </c>
      <c r="B2631" s="19" t="s">
        <v>5282</v>
      </c>
      <c r="C2631" s="20" t="s">
        <v>5283</v>
      </c>
      <c r="D2631" s="2">
        <v>2.5</v>
      </c>
      <c r="E2631" s="21"/>
      <c r="F2631" s="2">
        <f t="shared" si="60"/>
        <v>0</v>
      </c>
      <c r="G2631" s="3" t="str">
        <f>HYPERLINK("http://tmmp-catalog.com.ua/katalog/21/13981/","фото")</f>
        <v>фото</v>
      </c>
      <c r="H2631" s="22"/>
    </row>
    <row r="2632" spans="1:8" ht="15" x14ac:dyDescent="0.2">
      <c r="A2632" s="18">
        <v>2000000016801</v>
      </c>
      <c r="B2632" s="19" t="s">
        <v>5284</v>
      </c>
      <c r="C2632" s="20" t="s">
        <v>5285</v>
      </c>
      <c r="D2632" s="2">
        <v>0.6</v>
      </c>
      <c r="E2632" s="21"/>
      <c r="F2632" s="2">
        <f t="shared" si="60"/>
        <v>0</v>
      </c>
      <c r="G2632" s="3" t="str">
        <f>HYPERLINK("http://tmmp-catalog.com.ua/katalog/21/13983/","фото")</f>
        <v>фото</v>
      </c>
      <c r="H2632" s="22"/>
    </row>
    <row r="2633" spans="1:8" ht="15" x14ac:dyDescent="0.2">
      <c r="A2633" s="18"/>
      <c r="B2633" s="19" t="s">
        <v>5286</v>
      </c>
      <c r="C2633" s="20" t="s">
        <v>5287</v>
      </c>
      <c r="D2633" s="2">
        <v>0.4</v>
      </c>
      <c r="E2633" s="21"/>
      <c r="F2633" s="2">
        <f t="shared" si="60"/>
        <v>0</v>
      </c>
      <c r="G2633" s="3" t="str">
        <f>HYPERLINK("http://tmmp-catalog.com.ua/katalog/21/17405/","фото")</f>
        <v>фото</v>
      </c>
      <c r="H2633" s="22"/>
    </row>
    <row r="2634" spans="1:8" ht="15" x14ac:dyDescent="0.2">
      <c r="A2634" s="18"/>
      <c r="B2634" s="19" t="s">
        <v>5288</v>
      </c>
      <c r="C2634" s="20" t="s">
        <v>5289</v>
      </c>
      <c r="D2634" s="2">
        <v>0.4</v>
      </c>
      <c r="E2634" s="21"/>
      <c r="F2634" s="2">
        <f t="shared" si="60"/>
        <v>0</v>
      </c>
      <c r="G2634" s="3" t="str">
        <f>HYPERLINK("http://tmmp-catalog.com.ua/katalog/21/17406/","фото")</f>
        <v>фото</v>
      </c>
      <c r="H2634" s="22"/>
    </row>
    <row r="2635" spans="1:8" ht="15" x14ac:dyDescent="0.2">
      <c r="A2635" s="18">
        <v>2000000016825</v>
      </c>
      <c r="B2635" s="19" t="s">
        <v>5290</v>
      </c>
      <c r="C2635" s="20" t="s">
        <v>5291</v>
      </c>
      <c r="D2635" s="2">
        <v>0.4</v>
      </c>
      <c r="E2635" s="21"/>
      <c r="F2635" s="2">
        <f t="shared" si="60"/>
        <v>0</v>
      </c>
      <c r="G2635" s="3" t="str">
        <f>HYPERLINK("http://tmmp-catalog.com.ua/katalog/21/13985/","фото")</f>
        <v>фото</v>
      </c>
      <c r="H2635" s="22"/>
    </row>
    <row r="2636" spans="1:8" ht="15" x14ac:dyDescent="0.2">
      <c r="A2636" s="18"/>
      <c r="B2636" s="19" t="s">
        <v>5292</v>
      </c>
      <c r="C2636" s="20" t="s">
        <v>5293</v>
      </c>
      <c r="D2636" s="2">
        <v>1.3</v>
      </c>
      <c r="E2636" s="21"/>
      <c r="F2636" s="2">
        <f t="shared" si="60"/>
        <v>0</v>
      </c>
      <c r="G2636" s="3" t="str">
        <f>HYPERLINK("http://tmmp-catalog.com.ua/katalog/21/17407/","фото")</f>
        <v>фото</v>
      </c>
      <c r="H2636" s="22"/>
    </row>
    <row r="2637" spans="1:8" ht="15" x14ac:dyDescent="0.2">
      <c r="A2637" s="18">
        <v>2000000016856</v>
      </c>
      <c r="B2637" s="19" t="s">
        <v>5294</v>
      </c>
      <c r="C2637" s="20" t="s">
        <v>5295</v>
      </c>
      <c r="D2637" s="2">
        <v>0.2</v>
      </c>
      <c r="E2637" s="21"/>
      <c r="F2637" s="2">
        <f t="shared" si="60"/>
        <v>0</v>
      </c>
      <c r="G2637" s="3" t="str">
        <f>HYPERLINK("http://tmmp-catalog.com.ua/katalog/21/13988/","фото")</f>
        <v>фото</v>
      </c>
      <c r="H2637" s="22"/>
    </row>
    <row r="2638" spans="1:8" ht="15" x14ac:dyDescent="0.2">
      <c r="A2638" s="18">
        <v>2000000016832</v>
      </c>
      <c r="B2638" s="19" t="s">
        <v>5296</v>
      </c>
      <c r="C2638" s="20" t="s">
        <v>5297</v>
      </c>
      <c r="D2638" s="2">
        <v>0.45</v>
      </c>
      <c r="E2638" s="21"/>
      <c r="F2638" s="2">
        <f t="shared" si="60"/>
        <v>0</v>
      </c>
      <c r="G2638" s="3" t="str">
        <f>HYPERLINK("http://tmmp-catalog.com.ua/katalog/21/13986/","фото")</f>
        <v>фото</v>
      </c>
      <c r="H2638" s="22"/>
    </row>
    <row r="2639" spans="1:8" ht="15" x14ac:dyDescent="0.2">
      <c r="A2639" s="18">
        <v>2000000016849</v>
      </c>
      <c r="B2639" s="19" t="s">
        <v>5298</v>
      </c>
      <c r="C2639" s="20" t="s">
        <v>5299</v>
      </c>
      <c r="D2639" s="2">
        <v>0.35</v>
      </c>
      <c r="E2639" s="21"/>
      <c r="F2639" s="2">
        <f t="shared" si="60"/>
        <v>0</v>
      </c>
      <c r="G2639" s="3" t="str">
        <f>HYPERLINK("http://tmmp-catalog.com.ua/katalog/21/13987/","фото")</f>
        <v>фото</v>
      </c>
      <c r="H2639" s="22"/>
    </row>
    <row r="2640" spans="1:8" ht="15" x14ac:dyDescent="0.2">
      <c r="A2640" s="18"/>
      <c r="B2640" s="19" t="s">
        <v>5300</v>
      </c>
      <c r="C2640" s="20" t="s">
        <v>5301</v>
      </c>
      <c r="D2640" s="2">
        <v>0.75</v>
      </c>
      <c r="E2640" s="21"/>
      <c r="F2640" s="2">
        <f t="shared" si="60"/>
        <v>0</v>
      </c>
      <c r="G2640" s="3" t="str">
        <f>HYPERLINK("http://tmmp-catalog.com.ua/katalog/21/17433/","фото")</f>
        <v>фото</v>
      </c>
      <c r="H2640" s="22"/>
    </row>
    <row r="2641" spans="1:8" ht="15" x14ac:dyDescent="0.2">
      <c r="A2641" s="18"/>
      <c r="B2641" s="19" t="s">
        <v>5302</v>
      </c>
      <c r="C2641" s="20" t="s">
        <v>5303</v>
      </c>
      <c r="D2641" s="2">
        <v>0.8</v>
      </c>
      <c r="E2641" s="21"/>
      <c r="F2641" s="2">
        <f t="shared" si="60"/>
        <v>0</v>
      </c>
      <c r="G2641" s="3" t="str">
        <f>HYPERLINK("http://tmmp-catalog.com.ua/katalog/21/17408/","фото")</f>
        <v>фото</v>
      </c>
      <c r="H2641" s="22"/>
    </row>
    <row r="2642" spans="1:8" ht="15" x14ac:dyDescent="0.2">
      <c r="A2642" s="18">
        <v>2000000036960</v>
      </c>
      <c r="B2642" s="19" t="s">
        <v>5304</v>
      </c>
      <c r="C2642" s="20" t="s">
        <v>5305</v>
      </c>
      <c r="D2642" s="2">
        <v>0.75</v>
      </c>
      <c r="E2642" s="21"/>
      <c r="F2642" s="2">
        <f t="shared" si="60"/>
        <v>0</v>
      </c>
      <c r="G2642" s="3" t="str">
        <f>HYPERLINK("http://tmmp-catalog.com.ua/katalog/21/16398/","фото")</f>
        <v>фото</v>
      </c>
      <c r="H2642" s="22"/>
    </row>
    <row r="2643" spans="1:8" ht="15" x14ac:dyDescent="0.2">
      <c r="A2643" s="18"/>
      <c r="B2643" s="19" t="s">
        <v>5306</v>
      </c>
      <c r="C2643" s="20" t="s">
        <v>5307</v>
      </c>
      <c r="D2643" s="2">
        <v>1</v>
      </c>
      <c r="E2643" s="21"/>
      <c r="F2643" s="2">
        <f t="shared" si="60"/>
        <v>0</v>
      </c>
      <c r="G2643" s="3" t="str">
        <f>HYPERLINK("http://tmmp-catalog.com.ua/katalog/21/18096/","фото")</f>
        <v>фото</v>
      </c>
      <c r="H2643" s="22"/>
    </row>
    <row r="2644" spans="1:8" ht="15" x14ac:dyDescent="0.2">
      <c r="A2644" s="18">
        <v>2000000016900</v>
      </c>
      <c r="B2644" s="19" t="s">
        <v>5308</v>
      </c>
      <c r="C2644" s="20" t="s">
        <v>5309</v>
      </c>
      <c r="D2644" s="2">
        <v>1</v>
      </c>
      <c r="E2644" s="21"/>
      <c r="F2644" s="2">
        <f t="shared" si="60"/>
        <v>0</v>
      </c>
      <c r="G2644" s="3" t="str">
        <f>HYPERLINK("http://tmmp-catalog.com.ua/katalog/21/13993/","фото")</f>
        <v>фото</v>
      </c>
      <c r="H2644" s="22"/>
    </row>
    <row r="2645" spans="1:8" ht="15" x14ac:dyDescent="0.2">
      <c r="A2645" s="18">
        <v>2000000016870</v>
      </c>
      <c r="B2645" s="19" t="s">
        <v>5310</v>
      </c>
      <c r="C2645" s="20" t="s">
        <v>5311</v>
      </c>
      <c r="D2645" s="2">
        <v>1.6</v>
      </c>
      <c r="E2645" s="21"/>
      <c r="F2645" s="2">
        <f t="shared" si="60"/>
        <v>0</v>
      </c>
      <c r="G2645" s="3" t="str">
        <f>HYPERLINK("http://tmmp-catalog.com.ua/katalog/21/13990/","фото")</f>
        <v>фото</v>
      </c>
      <c r="H2645" s="22"/>
    </row>
    <row r="2646" spans="1:8" ht="15" x14ac:dyDescent="0.2">
      <c r="A2646" s="18">
        <v>2000000016917</v>
      </c>
      <c r="B2646" s="19" t="s">
        <v>5312</v>
      </c>
      <c r="C2646" s="20" t="s">
        <v>5313</v>
      </c>
      <c r="D2646" s="2">
        <v>1.4</v>
      </c>
      <c r="E2646" s="21"/>
      <c r="F2646" s="2">
        <f t="shared" si="60"/>
        <v>0</v>
      </c>
      <c r="G2646" s="3" t="str">
        <f>HYPERLINK("http://tmmp-catalog.com.ua/katalog/21/13994/","фото")</f>
        <v>фото</v>
      </c>
      <c r="H2646" s="22"/>
    </row>
    <row r="2647" spans="1:8" ht="15" x14ac:dyDescent="0.2">
      <c r="A2647" s="18">
        <v>2000000016887</v>
      </c>
      <c r="B2647" s="19" t="s">
        <v>5314</v>
      </c>
      <c r="C2647" s="20" t="s">
        <v>5315</v>
      </c>
      <c r="D2647" s="2">
        <v>1.2</v>
      </c>
      <c r="E2647" s="21"/>
      <c r="F2647" s="2">
        <f t="shared" si="60"/>
        <v>0</v>
      </c>
      <c r="G2647" s="3" t="str">
        <f>HYPERLINK("http://tmmp-catalog.com.ua/katalog/21/13991/","фото")</f>
        <v>фото</v>
      </c>
      <c r="H2647" s="22"/>
    </row>
    <row r="2648" spans="1:8" ht="15" x14ac:dyDescent="0.2">
      <c r="A2648" s="18"/>
      <c r="B2648" s="19" t="s">
        <v>5316</v>
      </c>
      <c r="C2648" s="20" t="s">
        <v>5317</v>
      </c>
      <c r="D2648" s="2">
        <v>2.4</v>
      </c>
      <c r="E2648" s="21"/>
      <c r="F2648" s="2">
        <f t="shared" si="60"/>
        <v>0</v>
      </c>
      <c r="G2648" s="3" t="str">
        <f>HYPERLINK("http://tmmp-catalog.com.ua/katalog/21/17483/","фото")</f>
        <v>фото</v>
      </c>
      <c r="H2648" s="22"/>
    </row>
    <row r="2649" spans="1:8" ht="15" x14ac:dyDescent="0.2">
      <c r="A2649" s="18"/>
      <c r="B2649" s="19" t="s">
        <v>5318</v>
      </c>
      <c r="C2649" s="20" t="s">
        <v>5319</v>
      </c>
      <c r="D2649" s="2">
        <v>2.4</v>
      </c>
      <c r="E2649" s="21"/>
      <c r="F2649" s="2">
        <f t="shared" si="60"/>
        <v>0</v>
      </c>
      <c r="G2649" s="3" t="str">
        <f>HYPERLINK("http://tmmp-catalog.com.ua/katalog/21/17484/","фото")</f>
        <v>фото</v>
      </c>
      <c r="H2649" s="22"/>
    </row>
    <row r="2650" spans="1:8" ht="15" x14ac:dyDescent="0.2">
      <c r="A2650" s="18"/>
      <c r="B2650" s="19" t="s">
        <v>5320</v>
      </c>
      <c r="C2650" s="20" t="s">
        <v>5321</v>
      </c>
      <c r="D2650" s="2">
        <v>2</v>
      </c>
      <c r="E2650" s="21"/>
      <c r="F2650" s="2">
        <f t="shared" si="60"/>
        <v>0</v>
      </c>
      <c r="G2650" s="3" t="str">
        <f>HYPERLINK("http://tmmp-catalog.com.ua/katalog/21/17485/","фото")</f>
        <v>фото</v>
      </c>
      <c r="H2650" s="22"/>
    </row>
    <row r="2651" spans="1:8" ht="15" x14ac:dyDescent="0.2">
      <c r="A2651" s="18">
        <v>2000000016894</v>
      </c>
      <c r="B2651" s="19" t="s">
        <v>5322</v>
      </c>
      <c r="C2651" s="20" t="s">
        <v>5323</v>
      </c>
      <c r="D2651" s="2">
        <v>2.7</v>
      </c>
      <c r="E2651" s="21"/>
      <c r="F2651" s="2">
        <f t="shared" si="60"/>
        <v>0</v>
      </c>
      <c r="G2651" s="3" t="str">
        <f>HYPERLINK("http://tmmp-catalog.com.ua/katalog/21/13992/","фото")</f>
        <v>фото</v>
      </c>
      <c r="H2651" s="22"/>
    </row>
    <row r="2652" spans="1:8" ht="15" x14ac:dyDescent="0.2">
      <c r="A2652" s="18"/>
      <c r="B2652" s="19" t="s">
        <v>5324</v>
      </c>
      <c r="C2652" s="20" t="s">
        <v>5325</v>
      </c>
      <c r="D2652" s="2">
        <v>0.55000000000000004</v>
      </c>
      <c r="E2652" s="21"/>
      <c r="F2652" s="2">
        <f t="shared" si="60"/>
        <v>0</v>
      </c>
      <c r="G2652" s="3" t="str">
        <f>HYPERLINK("http://tmmp-catalog.com.ua/katalog/21/17487/","фото")</f>
        <v>фото</v>
      </c>
      <c r="H2652" s="22"/>
    </row>
    <row r="2653" spans="1:8" ht="15" x14ac:dyDescent="0.2">
      <c r="A2653" s="18">
        <v>2000000016931</v>
      </c>
      <c r="B2653" s="19" t="s">
        <v>5326</v>
      </c>
      <c r="C2653" s="20" t="s">
        <v>5327</v>
      </c>
      <c r="D2653" s="2">
        <v>0.8</v>
      </c>
      <c r="E2653" s="21"/>
      <c r="F2653" s="2">
        <f t="shared" si="60"/>
        <v>0</v>
      </c>
      <c r="G2653" s="3" t="str">
        <f>HYPERLINK("http://tmmp-catalog.com.ua/katalog/21/13996/","фото")</f>
        <v>фото</v>
      </c>
      <c r="H2653" s="22"/>
    </row>
    <row r="2654" spans="1:8" ht="15" x14ac:dyDescent="0.2">
      <c r="A2654" s="18">
        <v>2000000016924</v>
      </c>
      <c r="B2654" s="19" t="s">
        <v>5328</v>
      </c>
      <c r="C2654" s="20" t="s">
        <v>5329</v>
      </c>
      <c r="D2654" s="2">
        <v>0.5</v>
      </c>
      <c r="E2654" s="21"/>
      <c r="F2654" s="2">
        <f t="shared" si="60"/>
        <v>0</v>
      </c>
      <c r="G2654" s="3" t="str">
        <f>HYPERLINK("http://tmmp-catalog.com.ua/katalog/21/13995/","фото")</f>
        <v>фото</v>
      </c>
      <c r="H2654" s="22"/>
    </row>
    <row r="2655" spans="1:8" ht="15" x14ac:dyDescent="0.2">
      <c r="A2655" s="18"/>
      <c r="B2655" s="19" t="s">
        <v>5330</v>
      </c>
      <c r="C2655" s="20" t="s">
        <v>5331</v>
      </c>
      <c r="D2655" s="2">
        <v>0.65</v>
      </c>
      <c r="E2655" s="21"/>
      <c r="F2655" s="2">
        <f t="shared" si="60"/>
        <v>0</v>
      </c>
      <c r="G2655" s="3" t="str">
        <f>HYPERLINK("http://tmmp-catalog.com.ua/katalog/21/17409/","фото")</f>
        <v>фото</v>
      </c>
      <c r="H2655" s="22"/>
    </row>
    <row r="2656" spans="1:8" ht="15" x14ac:dyDescent="0.2">
      <c r="A2656" s="18"/>
      <c r="B2656" s="19" t="s">
        <v>5332</v>
      </c>
      <c r="C2656" s="20" t="s">
        <v>5333</v>
      </c>
      <c r="D2656" s="2">
        <v>0.65</v>
      </c>
      <c r="E2656" s="21"/>
      <c r="F2656" s="2">
        <f t="shared" si="60"/>
        <v>0</v>
      </c>
      <c r="G2656" s="3" t="str">
        <f>HYPERLINK("http://tmmp-catalog.com.ua/katalog/21/17410/","фото")</f>
        <v>фото</v>
      </c>
      <c r="H2656" s="22"/>
    </row>
    <row r="2657" spans="1:8" ht="15" x14ac:dyDescent="0.2">
      <c r="A2657" s="18">
        <v>2000000016818</v>
      </c>
      <c r="B2657" s="19" t="s">
        <v>5334</v>
      </c>
      <c r="C2657" s="20" t="s">
        <v>5335</v>
      </c>
      <c r="D2657" s="2">
        <v>0.2</v>
      </c>
      <c r="E2657" s="21"/>
      <c r="F2657" s="2">
        <f t="shared" si="60"/>
        <v>0</v>
      </c>
      <c r="G2657" s="3" t="str">
        <f>HYPERLINK("http://tmmp-catalog.com.ua/katalog/21/13984/","фото")</f>
        <v>фото</v>
      </c>
      <c r="H2657" s="22"/>
    </row>
    <row r="2658" spans="1:8" ht="15" x14ac:dyDescent="0.2">
      <c r="A2658" s="18">
        <v>2000000017013</v>
      </c>
      <c r="B2658" s="19" t="s">
        <v>5336</v>
      </c>
      <c r="C2658" s="20" t="s">
        <v>5337</v>
      </c>
      <c r="D2658" s="2">
        <v>0.7</v>
      </c>
      <c r="E2658" s="21"/>
      <c r="F2658" s="2">
        <f t="shared" si="60"/>
        <v>0</v>
      </c>
      <c r="G2658" s="3" t="str">
        <f>HYPERLINK("http://tmmp-catalog.com.ua/katalog/21/14004/","фото")</f>
        <v>фото</v>
      </c>
      <c r="H2658" s="22"/>
    </row>
    <row r="2659" spans="1:8" ht="15" x14ac:dyDescent="0.2">
      <c r="A2659" s="18">
        <v>2000000017006</v>
      </c>
      <c r="B2659" s="19" t="s">
        <v>5338</v>
      </c>
      <c r="C2659" s="20" t="s">
        <v>5339</v>
      </c>
      <c r="D2659" s="2">
        <v>0.6</v>
      </c>
      <c r="E2659" s="21"/>
      <c r="F2659" s="2">
        <f t="shared" ref="F2659:F2690" si="61">cena*zakaz</f>
        <v>0</v>
      </c>
      <c r="G2659" s="3" t="str">
        <f>HYPERLINK("http://tmmp-catalog.com.ua/katalog/21/14003/","фото")</f>
        <v>фото</v>
      </c>
      <c r="H2659" s="22"/>
    </row>
    <row r="2660" spans="1:8" ht="15" x14ac:dyDescent="0.2">
      <c r="A2660" s="18"/>
      <c r="B2660" s="19" t="s">
        <v>5340</v>
      </c>
      <c r="C2660" s="20" t="s">
        <v>5341</v>
      </c>
      <c r="D2660" s="2">
        <v>0.65</v>
      </c>
      <c r="E2660" s="21"/>
      <c r="F2660" s="2">
        <f t="shared" si="61"/>
        <v>0</v>
      </c>
      <c r="G2660" s="3" t="str">
        <f>HYPERLINK("http://tmmp-catalog.com.ua/katalog/21/18829/","фото")</f>
        <v>фото</v>
      </c>
      <c r="H2660" s="22"/>
    </row>
    <row r="2661" spans="1:8" ht="15" x14ac:dyDescent="0.2">
      <c r="A2661" s="18">
        <v>2000000016993</v>
      </c>
      <c r="B2661" s="19" t="s">
        <v>5342</v>
      </c>
      <c r="C2661" s="20" t="s">
        <v>5343</v>
      </c>
      <c r="D2661" s="2">
        <v>0.2</v>
      </c>
      <c r="E2661" s="21"/>
      <c r="F2661" s="2">
        <f t="shared" si="61"/>
        <v>0</v>
      </c>
      <c r="G2661" s="3" t="str">
        <f>HYPERLINK("http://tmmp-catalog.com.ua/katalog/21/14002/","фото")</f>
        <v>фото</v>
      </c>
      <c r="H2661" s="22"/>
    </row>
    <row r="2662" spans="1:8" ht="15" x14ac:dyDescent="0.2">
      <c r="A2662" s="18">
        <v>2000000017037</v>
      </c>
      <c r="B2662" s="19" t="s">
        <v>5344</v>
      </c>
      <c r="C2662" s="20" t="s">
        <v>5345</v>
      </c>
      <c r="D2662" s="2">
        <v>0.5</v>
      </c>
      <c r="E2662" s="21"/>
      <c r="F2662" s="2">
        <f t="shared" si="61"/>
        <v>0</v>
      </c>
      <c r="G2662" s="3" t="str">
        <f>HYPERLINK("http://tmmp-catalog.com.ua/katalog/21/14006/","фото")</f>
        <v>фото</v>
      </c>
      <c r="H2662" s="22"/>
    </row>
    <row r="2663" spans="1:8" ht="15" x14ac:dyDescent="0.2">
      <c r="A2663" s="18"/>
      <c r="B2663" s="19" t="s">
        <v>5346</v>
      </c>
      <c r="C2663" s="20" t="s">
        <v>5347</v>
      </c>
      <c r="D2663" s="2">
        <v>0.55000000000000004</v>
      </c>
      <c r="E2663" s="21"/>
      <c r="F2663" s="2">
        <f t="shared" si="61"/>
        <v>0</v>
      </c>
      <c r="G2663" s="3" t="str">
        <f>HYPERLINK("http://tmmp-catalog.com.ua/katalog/37/18786/","фото")</f>
        <v>фото</v>
      </c>
      <c r="H2663" s="22"/>
    </row>
    <row r="2664" spans="1:8" ht="15" x14ac:dyDescent="0.2">
      <c r="A2664" s="18">
        <v>2000000017044</v>
      </c>
      <c r="B2664" s="19" t="s">
        <v>5348</v>
      </c>
      <c r="C2664" s="20" t="s">
        <v>5349</v>
      </c>
      <c r="D2664" s="2">
        <v>0.6</v>
      </c>
      <c r="E2664" s="21"/>
      <c r="F2664" s="2">
        <f t="shared" si="61"/>
        <v>0</v>
      </c>
      <c r="G2664" s="3" t="str">
        <f>HYPERLINK("http://tmmp-catalog.com.ua/katalog/21/14007/","фото")</f>
        <v>фото</v>
      </c>
      <c r="H2664" s="22"/>
    </row>
    <row r="2665" spans="1:8" ht="15" x14ac:dyDescent="0.2">
      <c r="A2665" s="18"/>
      <c r="B2665" s="19" t="s">
        <v>5350</v>
      </c>
      <c r="C2665" s="20" t="s">
        <v>5351</v>
      </c>
      <c r="D2665" s="2">
        <v>0.9</v>
      </c>
      <c r="E2665" s="21"/>
      <c r="F2665" s="2">
        <f t="shared" si="61"/>
        <v>0</v>
      </c>
      <c r="G2665" s="3" t="str">
        <f>HYPERLINK("http://tmmp-catalog.com.ua/katalog/21/17411/","фото")</f>
        <v>фото</v>
      </c>
      <c r="H2665" s="22"/>
    </row>
    <row r="2666" spans="1:8" ht="15" x14ac:dyDescent="0.2">
      <c r="A2666" s="18"/>
      <c r="B2666" s="19" t="s">
        <v>5352</v>
      </c>
      <c r="C2666" s="20" t="s">
        <v>5353</v>
      </c>
      <c r="D2666" s="2">
        <v>0.9</v>
      </c>
      <c r="E2666" s="21"/>
      <c r="F2666" s="2">
        <f t="shared" si="61"/>
        <v>0</v>
      </c>
      <c r="G2666" s="3" t="str">
        <f>HYPERLINK("http://tmmp-catalog.com.ua/katalog/21/17412/","фото")</f>
        <v>фото</v>
      </c>
      <c r="H2666" s="22"/>
    </row>
    <row r="2667" spans="1:8" ht="15" x14ac:dyDescent="0.2">
      <c r="A2667" s="18"/>
      <c r="B2667" s="19" t="s">
        <v>5354</v>
      </c>
      <c r="C2667" s="20" t="s">
        <v>5355</v>
      </c>
      <c r="D2667" s="2">
        <v>1.25</v>
      </c>
      <c r="E2667" s="21"/>
      <c r="F2667" s="2">
        <f t="shared" si="61"/>
        <v>0</v>
      </c>
      <c r="G2667" s="3" t="str">
        <f>HYPERLINK("http://tmmp-catalog.com.ua/katalog/21/17414/","фото")</f>
        <v>фото</v>
      </c>
      <c r="H2667" s="22"/>
    </row>
    <row r="2668" spans="1:8" ht="15" x14ac:dyDescent="0.2">
      <c r="A2668" s="18"/>
      <c r="B2668" s="19" t="s">
        <v>5356</v>
      </c>
      <c r="C2668" s="20" t="s">
        <v>5357</v>
      </c>
      <c r="D2668" s="2">
        <v>11</v>
      </c>
      <c r="E2668" s="21"/>
      <c r="F2668" s="2">
        <f t="shared" si="61"/>
        <v>0</v>
      </c>
      <c r="G2668" s="3" t="str">
        <f>HYPERLINK("http://tmmp-catalog.com.ua/katalog/21/17489/","фото")</f>
        <v>фото</v>
      </c>
      <c r="H2668" s="22"/>
    </row>
    <row r="2669" spans="1:8" ht="15" x14ac:dyDescent="0.2">
      <c r="A2669" s="18"/>
      <c r="B2669" s="19" t="s">
        <v>5358</v>
      </c>
      <c r="C2669" s="20" t="s">
        <v>5359</v>
      </c>
      <c r="D2669" s="2">
        <v>5</v>
      </c>
      <c r="E2669" s="21"/>
      <c r="F2669" s="2">
        <f t="shared" si="61"/>
        <v>0</v>
      </c>
      <c r="G2669" s="3" t="str">
        <f>HYPERLINK("http://tmmp-catalog.com.ua/katalog/21/16396/","фото")</f>
        <v>фото</v>
      </c>
      <c r="H2669" s="22"/>
    </row>
    <row r="2670" spans="1:8" ht="15" x14ac:dyDescent="0.2">
      <c r="A2670" s="18">
        <v>2000000017051</v>
      </c>
      <c r="B2670" s="19" t="s">
        <v>5360</v>
      </c>
      <c r="C2670" s="20" t="s">
        <v>5361</v>
      </c>
      <c r="D2670" s="2">
        <v>2.5</v>
      </c>
      <c r="E2670" s="21"/>
      <c r="F2670" s="2">
        <f t="shared" si="61"/>
        <v>0</v>
      </c>
      <c r="G2670" s="3" t="str">
        <f>HYPERLINK("http://tmmp-catalog.com.ua/katalog/21/14008/","фото")</f>
        <v>фото</v>
      </c>
      <c r="H2670" s="22"/>
    </row>
    <row r="2671" spans="1:8" ht="15" x14ac:dyDescent="0.2">
      <c r="A2671" s="18"/>
      <c r="B2671" s="19" t="s">
        <v>5362</v>
      </c>
      <c r="C2671" s="20" t="s">
        <v>5363</v>
      </c>
      <c r="D2671" s="2">
        <v>3</v>
      </c>
      <c r="E2671" s="21"/>
      <c r="F2671" s="2">
        <f t="shared" si="61"/>
        <v>0</v>
      </c>
      <c r="G2671" s="3" t="str">
        <f>HYPERLINK("http://tmmp-catalog.com.ua/katalog/21/17488/","фото")</f>
        <v>фото</v>
      </c>
      <c r="H2671" s="22"/>
    </row>
    <row r="2672" spans="1:8" ht="15" x14ac:dyDescent="0.2">
      <c r="A2672" s="18">
        <v>2000000017082</v>
      </c>
      <c r="B2672" s="19" t="s">
        <v>5364</v>
      </c>
      <c r="C2672" s="20" t="s">
        <v>5365</v>
      </c>
      <c r="D2672" s="2">
        <v>0.5</v>
      </c>
      <c r="E2672" s="21"/>
      <c r="F2672" s="2">
        <f t="shared" si="61"/>
        <v>0</v>
      </c>
      <c r="G2672" s="3" t="str">
        <f>HYPERLINK("http://tmmp-catalog.com.ua/katalog/21/14011/","фото")</f>
        <v>фото</v>
      </c>
      <c r="H2672" s="22"/>
    </row>
    <row r="2673" spans="1:8" ht="15" x14ac:dyDescent="0.2">
      <c r="A2673" s="18"/>
      <c r="B2673" s="19" t="s">
        <v>5366</v>
      </c>
      <c r="C2673" s="20" t="s">
        <v>5367</v>
      </c>
      <c r="D2673" s="2">
        <v>1.25</v>
      </c>
      <c r="E2673" s="21"/>
      <c r="F2673" s="2">
        <f t="shared" si="61"/>
        <v>0</v>
      </c>
      <c r="G2673" s="3" t="str">
        <f>HYPERLINK("http://tmmp-catalog.com.ua/katalog/21/17415/","фото")</f>
        <v>фото</v>
      </c>
      <c r="H2673" s="22"/>
    </row>
    <row r="2674" spans="1:8" ht="15" x14ac:dyDescent="0.2">
      <c r="A2674" s="18">
        <v>2000000017099</v>
      </c>
      <c r="B2674" s="19" t="s">
        <v>5368</v>
      </c>
      <c r="C2674" s="20" t="s">
        <v>5369</v>
      </c>
      <c r="D2674" s="2">
        <v>2</v>
      </c>
      <c r="E2674" s="21"/>
      <c r="F2674" s="2">
        <f t="shared" si="61"/>
        <v>0</v>
      </c>
      <c r="G2674" s="3" t="str">
        <f>HYPERLINK("http://tmmp-catalog.com.ua/katalog/21/14012/","фото")</f>
        <v>фото</v>
      </c>
      <c r="H2674" s="22"/>
    </row>
    <row r="2675" spans="1:8" ht="15" x14ac:dyDescent="0.2">
      <c r="A2675" s="18">
        <v>2000000017105</v>
      </c>
      <c r="B2675" s="19" t="s">
        <v>5370</v>
      </c>
      <c r="C2675" s="20" t="s">
        <v>5371</v>
      </c>
      <c r="D2675" s="2">
        <v>0.7</v>
      </c>
      <c r="E2675" s="21"/>
      <c r="F2675" s="2">
        <f t="shared" si="61"/>
        <v>0</v>
      </c>
      <c r="G2675" s="3" t="str">
        <f>HYPERLINK("http://tmmp-catalog.com.ua/katalog/21/14013/","фото")</f>
        <v>фото</v>
      </c>
      <c r="H2675" s="22"/>
    </row>
    <row r="2676" spans="1:8" ht="15" x14ac:dyDescent="0.2">
      <c r="A2676" s="18"/>
      <c r="B2676" s="19" t="s">
        <v>5372</v>
      </c>
      <c r="C2676" s="20" t="s">
        <v>5373</v>
      </c>
      <c r="D2676" s="2">
        <v>0.5</v>
      </c>
      <c r="E2676" s="21"/>
      <c r="F2676" s="2">
        <f t="shared" si="61"/>
        <v>0</v>
      </c>
      <c r="G2676" s="3" t="str">
        <f>HYPERLINK("http://tmmp-catalog.com.ua/katalog/21/17643/","фото")</f>
        <v>фото</v>
      </c>
      <c r="H2676" s="22"/>
    </row>
    <row r="2677" spans="1:8" ht="15" x14ac:dyDescent="0.2">
      <c r="A2677" s="18">
        <v>2000000017136</v>
      </c>
      <c r="B2677" s="19" t="s">
        <v>5374</v>
      </c>
      <c r="C2677" s="20" t="s">
        <v>5375</v>
      </c>
      <c r="D2677" s="2">
        <v>0.55000000000000004</v>
      </c>
      <c r="E2677" s="21"/>
      <c r="F2677" s="2">
        <f t="shared" si="61"/>
        <v>0</v>
      </c>
      <c r="G2677" s="3" t="str">
        <f>HYPERLINK("http://tmmp-catalog.com.ua/katalog/21/14016/","фото")</f>
        <v>фото</v>
      </c>
      <c r="H2677" s="22"/>
    </row>
    <row r="2678" spans="1:8" ht="15" x14ac:dyDescent="0.2">
      <c r="A2678" s="18"/>
      <c r="B2678" s="19" t="s">
        <v>5376</v>
      </c>
      <c r="C2678" s="20" t="s">
        <v>5377</v>
      </c>
      <c r="D2678" s="2">
        <v>0.4</v>
      </c>
      <c r="E2678" s="21"/>
      <c r="F2678" s="2">
        <f t="shared" si="61"/>
        <v>0</v>
      </c>
      <c r="G2678" s="3" t="str">
        <f>HYPERLINK("http://tmmp-catalog.com.ua/katalog/21/18139/","фото")</f>
        <v>фото</v>
      </c>
      <c r="H2678" s="22"/>
    </row>
    <row r="2679" spans="1:8" ht="15" x14ac:dyDescent="0.2">
      <c r="A2679" s="18">
        <v>2000000017129</v>
      </c>
      <c r="B2679" s="19" t="s">
        <v>5378</v>
      </c>
      <c r="C2679" s="20" t="s">
        <v>5379</v>
      </c>
      <c r="D2679" s="2">
        <v>0.4</v>
      </c>
      <c r="E2679" s="21"/>
      <c r="F2679" s="2">
        <f t="shared" si="61"/>
        <v>0</v>
      </c>
      <c r="G2679" s="3" t="str">
        <f>HYPERLINK("http://tmmp-catalog.com.ua/katalog/21/14015/","фото")</f>
        <v>фото</v>
      </c>
      <c r="H2679" s="22"/>
    </row>
    <row r="2680" spans="1:8" ht="15" x14ac:dyDescent="0.2">
      <c r="A2680" s="18">
        <v>2000000017150</v>
      </c>
      <c r="B2680" s="19" t="s">
        <v>5380</v>
      </c>
      <c r="C2680" s="20" t="s">
        <v>5381</v>
      </c>
      <c r="D2680" s="2">
        <v>4</v>
      </c>
      <c r="E2680" s="21"/>
      <c r="F2680" s="2">
        <f t="shared" si="61"/>
        <v>0</v>
      </c>
      <c r="G2680" s="3" t="str">
        <f>HYPERLINK("http://tmmp-catalog.com.ua/katalog/21/14018/","фото")</f>
        <v>фото</v>
      </c>
      <c r="H2680" s="22"/>
    </row>
    <row r="2681" spans="1:8" ht="15" x14ac:dyDescent="0.2">
      <c r="A2681" s="18">
        <v>2000000017143</v>
      </c>
      <c r="B2681" s="19" t="s">
        <v>5382</v>
      </c>
      <c r="C2681" s="20" t="s">
        <v>5383</v>
      </c>
      <c r="D2681" s="2">
        <v>2.5</v>
      </c>
      <c r="E2681" s="21"/>
      <c r="F2681" s="2">
        <f t="shared" si="61"/>
        <v>0</v>
      </c>
      <c r="G2681" s="3" t="str">
        <f>HYPERLINK("http://tmmp-catalog.com.ua/katalog/21/14017/","фото")</f>
        <v>фото</v>
      </c>
      <c r="H2681" s="22"/>
    </row>
    <row r="2682" spans="1:8" ht="15" x14ac:dyDescent="0.2">
      <c r="A2682" s="18"/>
      <c r="B2682" s="19" t="s">
        <v>5384</v>
      </c>
      <c r="C2682" s="20" t="s">
        <v>5385</v>
      </c>
      <c r="D2682" s="2">
        <v>4</v>
      </c>
      <c r="E2682" s="21"/>
      <c r="F2682" s="2">
        <f t="shared" si="61"/>
        <v>0</v>
      </c>
      <c r="G2682" s="3" t="str">
        <f>HYPERLINK("http://tmmp-catalog.com.ua/katalog/21/17491/","фото")</f>
        <v>фото</v>
      </c>
      <c r="H2682" s="22"/>
    </row>
    <row r="2683" spans="1:8" ht="15" x14ac:dyDescent="0.2">
      <c r="A2683" s="18"/>
      <c r="B2683" s="19" t="s">
        <v>5386</v>
      </c>
      <c r="C2683" s="20" t="s">
        <v>5387</v>
      </c>
      <c r="D2683" s="2">
        <v>2</v>
      </c>
      <c r="E2683" s="21"/>
      <c r="F2683" s="2">
        <f t="shared" si="61"/>
        <v>0</v>
      </c>
      <c r="G2683" s="3" t="str">
        <f>HYPERLINK("http://tmmp-catalog.com.ua/katalog/37/18512/","фото")</f>
        <v>фото</v>
      </c>
      <c r="H2683" s="22"/>
    </row>
    <row r="2684" spans="1:8" ht="15" x14ac:dyDescent="0.2">
      <c r="A2684" s="18">
        <v>2000000016559</v>
      </c>
      <c r="B2684" s="19" t="s">
        <v>5388</v>
      </c>
      <c r="C2684" s="20" t="s">
        <v>5389</v>
      </c>
      <c r="D2684" s="2">
        <v>1.3</v>
      </c>
      <c r="E2684" s="21"/>
      <c r="F2684" s="2">
        <f t="shared" si="61"/>
        <v>0</v>
      </c>
      <c r="G2684" s="3" t="str">
        <f>HYPERLINK("http://tmmp-catalog.com.ua/katalog/21/13958/","фото")</f>
        <v>фото</v>
      </c>
      <c r="H2684" s="22"/>
    </row>
    <row r="2685" spans="1:8" ht="15" x14ac:dyDescent="0.2">
      <c r="A2685" s="18">
        <v>2000000016535</v>
      </c>
      <c r="B2685" s="19" t="s">
        <v>5390</v>
      </c>
      <c r="C2685" s="20" t="s">
        <v>5391</v>
      </c>
      <c r="D2685" s="2">
        <v>1.45</v>
      </c>
      <c r="E2685" s="21"/>
      <c r="F2685" s="2">
        <f t="shared" si="61"/>
        <v>0</v>
      </c>
      <c r="G2685" s="3" t="str">
        <f>HYPERLINK("http://tmmp-catalog.com.ua/katalog/21/13956/","фото")</f>
        <v>фото</v>
      </c>
      <c r="H2685" s="22"/>
    </row>
    <row r="2686" spans="1:8" ht="15" x14ac:dyDescent="0.2">
      <c r="A2686" s="18">
        <v>2000000016542</v>
      </c>
      <c r="B2686" s="19" t="s">
        <v>5392</v>
      </c>
      <c r="C2686" s="20" t="s">
        <v>5393</v>
      </c>
      <c r="D2686" s="2">
        <v>3.6</v>
      </c>
      <c r="E2686" s="21"/>
      <c r="F2686" s="2">
        <f t="shared" si="61"/>
        <v>0</v>
      </c>
      <c r="G2686" s="3" t="str">
        <f>HYPERLINK("http://tmmp-catalog.com.ua/katalog/21/13957/","фото")</f>
        <v>фото</v>
      </c>
      <c r="H2686" s="22"/>
    </row>
    <row r="2687" spans="1:8" ht="15" x14ac:dyDescent="0.2">
      <c r="A2687" s="18"/>
      <c r="B2687" s="19" t="s">
        <v>5394</v>
      </c>
      <c r="C2687" s="20" t="s">
        <v>5395</v>
      </c>
      <c r="D2687" s="2">
        <v>3.5</v>
      </c>
      <c r="E2687" s="21"/>
      <c r="F2687" s="2">
        <f t="shared" si="61"/>
        <v>0</v>
      </c>
      <c r="G2687" s="3" t="str">
        <f>HYPERLINK("http://tmmp-catalog.com.ua/katalog/21/17493/","фото")</f>
        <v>фото</v>
      </c>
      <c r="H2687" s="22"/>
    </row>
    <row r="2688" spans="1:8" ht="15" x14ac:dyDescent="0.2">
      <c r="A2688" s="18"/>
      <c r="B2688" s="19" t="s">
        <v>5396</v>
      </c>
      <c r="C2688" s="20" t="s">
        <v>5397</v>
      </c>
      <c r="D2688" s="2">
        <v>0.65</v>
      </c>
      <c r="E2688" s="21"/>
      <c r="F2688" s="2">
        <f t="shared" si="61"/>
        <v>0</v>
      </c>
      <c r="G2688" s="3" t="str">
        <f>HYPERLINK("http://tmmp-catalog.com.ua/katalog/21/17416/","фото")</f>
        <v>фото</v>
      </c>
      <c r="H2688" s="22"/>
    </row>
    <row r="2689" spans="1:8" ht="15" x14ac:dyDescent="0.2">
      <c r="A2689" s="18"/>
      <c r="B2689" s="19" t="s">
        <v>5398</v>
      </c>
      <c r="C2689" s="20" t="s">
        <v>5399</v>
      </c>
      <c r="D2689" s="2">
        <v>1</v>
      </c>
      <c r="E2689" s="21"/>
      <c r="F2689" s="2">
        <f t="shared" si="61"/>
        <v>0</v>
      </c>
      <c r="G2689" s="3" t="str">
        <f>HYPERLINK("http://tmmp-catalog.com.ua/katalog/21/17417/","фото")</f>
        <v>фото</v>
      </c>
      <c r="H2689" s="22"/>
    </row>
    <row r="2690" spans="1:8" ht="15" x14ac:dyDescent="0.2">
      <c r="A2690" s="18"/>
      <c r="B2690" s="19" t="s">
        <v>5400</v>
      </c>
      <c r="C2690" s="20" t="s">
        <v>5401</v>
      </c>
      <c r="D2690" s="2">
        <v>1</v>
      </c>
      <c r="E2690" s="21"/>
      <c r="F2690" s="2">
        <f t="shared" si="61"/>
        <v>0</v>
      </c>
      <c r="G2690" s="3" t="str">
        <f>HYPERLINK("http://tmmp-catalog.com.ua/katalog/21/17418/","фото")</f>
        <v>фото</v>
      </c>
      <c r="H2690" s="22"/>
    </row>
    <row r="2691" spans="1:8" ht="15" x14ac:dyDescent="0.2">
      <c r="A2691" s="18">
        <v>2000000017228</v>
      </c>
      <c r="B2691" s="19" t="s">
        <v>5402</v>
      </c>
      <c r="C2691" s="20" t="s">
        <v>5403</v>
      </c>
      <c r="D2691" s="2">
        <v>0.2</v>
      </c>
      <c r="E2691" s="21"/>
      <c r="F2691" s="2">
        <f t="shared" ref="F2691:F2709" si="62">cena*zakaz</f>
        <v>0</v>
      </c>
      <c r="G2691" s="3" t="str">
        <f>HYPERLINK("http://tmmp-catalog.com.ua/katalog/21/14025/","фото")</f>
        <v>фото</v>
      </c>
      <c r="H2691" s="22"/>
    </row>
    <row r="2692" spans="1:8" ht="15" x14ac:dyDescent="0.2">
      <c r="A2692" s="18"/>
      <c r="B2692" s="19" t="s">
        <v>5404</v>
      </c>
      <c r="C2692" s="20" t="s">
        <v>5405</v>
      </c>
      <c r="D2692" s="2">
        <v>0.5</v>
      </c>
      <c r="E2692" s="21"/>
      <c r="F2692" s="2">
        <f t="shared" si="62"/>
        <v>0</v>
      </c>
      <c r="G2692" s="3" t="str">
        <f>HYPERLINK("http://tmmp-catalog.com.ua/katalog/21/17419/","фото")</f>
        <v>фото</v>
      </c>
      <c r="H2692" s="22"/>
    </row>
    <row r="2693" spans="1:8" ht="15" x14ac:dyDescent="0.2">
      <c r="A2693" s="18">
        <v>2000000017235</v>
      </c>
      <c r="B2693" s="19" t="s">
        <v>5406</v>
      </c>
      <c r="C2693" s="20" t="s">
        <v>5407</v>
      </c>
      <c r="D2693" s="2">
        <v>0.5</v>
      </c>
      <c r="E2693" s="21"/>
      <c r="F2693" s="2">
        <f t="shared" si="62"/>
        <v>0</v>
      </c>
      <c r="G2693" s="3" t="str">
        <f>HYPERLINK("http://tmmp-catalog.com.ua/katalog/21/14026/","фото")</f>
        <v>фото</v>
      </c>
      <c r="H2693" s="22"/>
    </row>
    <row r="2694" spans="1:8" ht="15" x14ac:dyDescent="0.2">
      <c r="A2694" s="18">
        <v>2000000017327</v>
      </c>
      <c r="B2694" s="19" t="s">
        <v>5408</v>
      </c>
      <c r="C2694" s="20" t="s">
        <v>5409</v>
      </c>
      <c r="D2694" s="2">
        <v>6</v>
      </c>
      <c r="E2694" s="21"/>
      <c r="F2694" s="2">
        <f t="shared" si="62"/>
        <v>0</v>
      </c>
      <c r="G2694" s="3" t="str">
        <f>HYPERLINK("http://tmmp-catalog.com.ua/katalog/21/14035/","фото")</f>
        <v>фото</v>
      </c>
      <c r="H2694" s="22"/>
    </row>
    <row r="2695" spans="1:8" ht="15" x14ac:dyDescent="0.2">
      <c r="A2695" s="18">
        <v>2000000017280</v>
      </c>
      <c r="B2695" s="19" t="s">
        <v>5410</v>
      </c>
      <c r="C2695" s="20" t="s">
        <v>5411</v>
      </c>
      <c r="D2695" s="2">
        <v>5</v>
      </c>
      <c r="E2695" s="21"/>
      <c r="F2695" s="2">
        <f t="shared" si="62"/>
        <v>0</v>
      </c>
      <c r="G2695" s="3" t="str">
        <f>HYPERLINK("http://tmmp-catalog.com.ua/katalog/21/14031/","фото")</f>
        <v>фото</v>
      </c>
      <c r="H2695" s="22"/>
    </row>
    <row r="2696" spans="1:8" ht="15" x14ac:dyDescent="0.2">
      <c r="A2696" s="18">
        <v>2000000017242</v>
      </c>
      <c r="B2696" s="19" t="s">
        <v>5412</v>
      </c>
      <c r="C2696" s="20" t="s">
        <v>5413</v>
      </c>
      <c r="D2696" s="2">
        <v>6.5</v>
      </c>
      <c r="E2696" s="21"/>
      <c r="F2696" s="2">
        <f t="shared" si="62"/>
        <v>0</v>
      </c>
      <c r="G2696" s="3" t="str">
        <f>HYPERLINK("http://tmmp-catalog.com.ua/katalog/21/14027/","фото")</f>
        <v>фото</v>
      </c>
      <c r="H2696" s="22"/>
    </row>
    <row r="2697" spans="1:8" ht="15" x14ac:dyDescent="0.2">
      <c r="A2697" s="18">
        <v>2000000017259</v>
      </c>
      <c r="B2697" s="19" t="s">
        <v>5414</v>
      </c>
      <c r="C2697" s="20" t="s">
        <v>5415</v>
      </c>
      <c r="D2697" s="2">
        <v>7.65</v>
      </c>
      <c r="E2697" s="21"/>
      <c r="F2697" s="2">
        <f t="shared" si="62"/>
        <v>0</v>
      </c>
      <c r="G2697" s="3" t="str">
        <f>HYPERLINK("http://tmmp-catalog.com.ua/katalog/21/14028/","фото")</f>
        <v>фото</v>
      </c>
      <c r="H2697" s="22"/>
    </row>
    <row r="2698" spans="1:8" ht="15" x14ac:dyDescent="0.2">
      <c r="A2698" s="18">
        <v>2000000017297</v>
      </c>
      <c r="B2698" s="19" t="s">
        <v>5416</v>
      </c>
      <c r="C2698" s="20" t="s">
        <v>5417</v>
      </c>
      <c r="D2698" s="2">
        <v>6</v>
      </c>
      <c r="E2698" s="21"/>
      <c r="F2698" s="2">
        <f t="shared" si="62"/>
        <v>0</v>
      </c>
      <c r="G2698" s="3" t="str">
        <f>HYPERLINK("http://tmmp-catalog.com.ua/katalog/21/14032/","фото")</f>
        <v>фото</v>
      </c>
      <c r="H2698" s="22"/>
    </row>
    <row r="2699" spans="1:8" ht="15" x14ac:dyDescent="0.2">
      <c r="A2699" s="18">
        <v>2000000017334</v>
      </c>
      <c r="B2699" s="19" t="s">
        <v>5418</v>
      </c>
      <c r="C2699" s="20" t="s">
        <v>5419</v>
      </c>
      <c r="D2699" s="2">
        <v>6</v>
      </c>
      <c r="E2699" s="21"/>
      <c r="F2699" s="2">
        <f t="shared" si="62"/>
        <v>0</v>
      </c>
      <c r="G2699" s="3" t="str">
        <f>HYPERLINK("http://tmmp-catalog.com.ua/katalog/21/14036/","фото")</f>
        <v>фото</v>
      </c>
      <c r="H2699" s="22"/>
    </row>
    <row r="2700" spans="1:8" ht="15" x14ac:dyDescent="0.2">
      <c r="A2700" s="18">
        <v>2000000017266</v>
      </c>
      <c r="B2700" s="19" t="s">
        <v>5420</v>
      </c>
      <c r="C2700" s="20" t="s">
        <v>5421</v>
      </c>
      <c r="D2700" s="2">
        <v>9</v>
      </c>
      <c r="E2700" s="21"/>
      <c r="F2700" s="2">
        <f t="shared" si="62"/>
        <v>0</v>
      </c>
      <c r="G2700" s="3" t="str">
        <f>HYPERLINK("http://tmmp-catalog.com.ua/katalog/21/14029/","фото")</f>
        <v>фото</v>
      </c>
      <c r="H2700" s="22"/>
    </row>
    <row r="2701" spans="1:8" ht="15" x14ac:dyDescent="0.2">
      <c r="A2701" s="18"/>
      <c r="B2701" s="19" t="s">
        <v>5422</v>
      </c>
      <c r="C2701" s="20" t="s">
        <v>5423</v>
      </c>
      <c r="D2701" s="2">
        <v>9</v>
      </c>
      <c r="E2701" s="21"/>
      <c r="F2701" s="2">
        <f t="shared" si="62"/>
        <v>0</v>
      </c>
      <c r="G2701" s="3" t="str">
        <f>HYPERLINK("http://tmmp-catalog.com.ua/katalog/37/18539/","фото")</f>
        <v>фото</v>
      </c>
      <c r="H2701" s="22"/>
    </row>
    <row r="2702" spans="1:8" ht="15" x14ac:dyDescent="0.2">
      <c r="A2702" s="18">
        <v>2000000017303</v>
      </c>
      <c r="B2702" s="19" t="s">
        <v>5424</v>
      </c>
      <c r="C2702" s="20" t="s">
        <v>5425</v>
      </c>
      <c r="D2702" s="2">
        <v>13.5</v>
      </c>
      <c r="E2702" s="21"/>
      <c r="F2702" s="2">
        <f t="shared" si="62"/>
        <v>0</v>
      </c>
      <c r="G2702" s="3" t="str">
        <f>HYPERLINK("http://tmmp-catalog.com.ua/katalog/21/14033/","фото")</f>
        <v>фото</v>
      </c>
      <c r="H2702" s="22"/>
    </row>
    <row r="2703" spans="1:8" ht="15" x14ac:dyDescent="0.2">
      <c r="A2703" s="18">
        <v>2000000017310</v>
      </c>
      <c r="B2703" s="19" t="s">
        <v>5426</v>
      </c>
      <c r="C2703" s="20" t="s">
        <v>5427</v>
      </c>
      <c r="D2703" s="2">
        <v>18.399999999999999</v>
      </c>
      <c r="E2703" s="21"/>
      <c r="F2703" s="2">
        <f t="shared" si="62"/>
        <v>0</v>
      </c>
      <c r="G2703" s="3" t="str">
        <f>HYPERLINK("http://tmmp-catalog.com.ua/katalog/21/14034/","фото")</f>
        <v>фото</v>
      </c>
      <c r="H2703" s="22"/>
    </row>
    <row r="2704" spans="1:8" ht="15" x14ac:dyDescent="0.2">
      <c r="A2704" s="18"/>
      <c r="B2704" s="19" t="s">
        <v>5428</v>
      </c>
      <c r="C2704" s="20" t="s">
        <v>5429</v>
      </c>
      <c r="D2704" s="2">
        <v>11</v>
      </c>
      <c r="E2704" s="21"/>
      <c r="F2704" s="2">
        <f t="shared" si="62"/>
        <v>0</v>
      </c>
      <c r="G2704" s="3" t="str">
        <f>HYPERLINK("http://tmmp-catalog.com.ua/katalog/37/18540/","фото")</f>
        <v>фото</v>
      </c>
      <c r="H2704" s="22"/>
    </row>
    <row r="2705" spans="1:8" ht="15" x14ac:dyDescent="0.2">
      <c r="A2705" s="18">
        <v>2000000017365</v>
      </c>
      <c r="B2705" s="19" t="s">
        <v>5430</v>
      </c>
      <c r="C2705" s="20" t="s">
        <v>5431</v>
      </c>
      <c r="D2705" s="2">
        <v>0.5</v>
      </c>
      <c r="E2705" s="21"/>
      <c r="F2705" s="2">
        <f t="shared" si="62"/>
        <v>0</v>
      </c>
      <c r="G2705" s="3" t="str">
        <f>HYPERLINK("http://tmmp-catalog.com.ua/katalog/21/14039/","фото")</f>
        <v>фото</v>
      </c>
      <c r="H2705" s="22"/>
    </row>
    <row r="2706" spans="1:8" ht="15" x14ac:dyDescent="0.2">
      <c r="A2706" s="18"/>
      <c r="B2706" s="19" t="s">
        <v>5432</v>
      </c>
      <c r="C2706" s="20" t="s">
        <v>5433</v>
      </c>
      <c r="D2706" s="2">
        <v>0.55000000000000004</v>
      </c>
      <c r="E2706" s="21"/>
      <c r="F2706" s="2">
        <f t="shared" si="62"/>
        <v>0</v>
      </c>
      <c r="G2706" s="3" t="str">
        <f>HYPERLINK("http://tmmp-catalog.com.ua/katalog/21/17494/","фото")</f>
        <v>фото</v>
      </c>
      <c r="H2706" s="22"/>
    </row>
    <row r="2707" spans="1:8" ht="15" x14ac:dyDescent="0.2">
      <c r="A2707" s="18">
        <v>2000000017358</v>
      </c>
      <c r="B2707" s="19" t="s">
        <v>5434</v>
      </c>
      <c r="C2707" s="20" t="s">
        <v>5435</v>
      </c>
      <c r="D2707" s="2">
        <v>0.6</v>
      </c>
      <c r="E2707" s="21"/>
      <c r="F2707" s="2">
        <f t="shared" si="62"/>
        <v>0</v>
      </c>
      <c r="G2707" s="3" t="str">
        <f>HYPERLINK("http://tmmp-catalog.com.ua/katalog/21/14038/","фото")</f>
        <v>фото</v>
      </c>
      <c r="H2707" s="22"/>
    </row>
    <row r="2708" spans="1:8" ht="15" x14ac:dyDescent="0.2">
      <c r="A2708" s="18"/>
      <c r="B2708" s="19" t="s">
        <v>5436</v>
      </c>
      <c r="C2708" s="20" t="s">
        <v>5437</v>
      </c>
      <c r="D2708" s="2">
        <v>1</v>
      </c>
      <c r="E2708" s="21"/>
      <c r="F2708" s="2">
        <f t="shared" si="62"/>
        <v>0</v>
      </c>
      <c r="G2708" s="3" t="str">
        <f>HYPERLINK("http://tmmp-catalog.com.ua/katalog/21/17495/","фото")</f>
        <v>фото</v>
      </c>
      <c r="H2708" s="22"/>
    </row>
    <row r="2709" spans="1:8" ht="15" x14ac:dyDescent="0.2">
      <c r="A2709" s="18">
        <v>2000000017211</v>
      </c>
      <c r="B2709" s="19" t="s">
        <v>5438</v>
      </c>
      <c r="C2709" s="20" t="s">
        <v>5439</v>
      </c>
      <c r="D2709" s="2">
        <v>1</v>
      </c>
      <c r="E2709" s="21"/>
      <c r="F2709" s="2">
        <f t="shared" si="62"/>
        <v>0</v>
      </c>
      <c r="G2709" s="3" t="str">
        <f>HYPERLINK("http://tmmp-catalog.com.ua/katalog/21/14024/","фото")</f>
        <v>фото</v>
      </c>
      <c r="H2709" s="22"/>
    </row>
    <row r="2710" spans="1:8" ht="23.25" x14ac:dyDescent="0.2">
      <c r="A2710" s="18"/>
      <c r="B2710" s="51"/>
      <c r="C2710" s="56" t="s">
        <v>8</v>
      </c>
      <c r="D2710" s="52"/>
      <c r="E2710" s="53"/>
      <c r="F2710" s="52"/>
      <c r="G2710" s="54"/>
      <c r="H2710" s="55"/>
    </row>
    <row r="2711" spans="1:8" ht="15" x14ac:dyDescent="0.2">
      <c r="A2711" s="18">
        <v>2000000011226</v>
      </c>
      <c r="B2711" s="19" t="s">
        <v>5440</v>
      </c>
      <c r="C2711" s="20" t="s">
        <v>5441</v>
      </c>
      <c r="D2711" s="2">
        <v>0.15</v>
      </c>
      <c r="E2711" s="21"/>
      <c r="F2711" s="2">
        <f t="shared" ref="F2711:F2749" si="63">cena*zakaz</f>
        <v>0</v>
      </c>
      <c r="G2711" s="3" t="str">
        <f>HYPERLINK("http://tmmp-catalog.com.ua/katalog/18/14263/","фото")</f>
        <v>фото</v>
      </c>
      <c r="H2711" s="22"/>
    </row>
    <row r="2712" spans="1:8" ht="15" x14ac:dyDescent="0.2">
      <c r="A2712" s="18"/>
      <c r="B2712" s="19" t="s">
        <v>5442</v>
      </c>
      <c r="C2712" s="20" t="s">
        <v>5443</v>
      </c>
      <c r="D2712" s="2">
        <v>2.4</v>
      </c>
      <c r="E2712" s="21"/>
      <c r="F2712" s="2">
        <f t="shared" si="63"/>
        <v>0</v>
      </c>
      <c r="G2712" s="3" t="str">
        <f>HYPERLINK("http://tmmp-catalog.com.ua/katalog/18/17427/","фото")</f>
        <v>фото</v>
      </c>
      <c r="H2712" s="22"/>
    </row>
    <row r="2713" spans="1:8" ht="15" x14ac:dyDescent="0.2">
      <c r="A2713" s="18"/>
      <c r="B2713" s="19" t="s">
        <v>5444</v>
      </c>
      <c r="C2713" s="20" t="s">
        <v>5445</v>
      </c>
      <c r="D2713" s="2">
        <v>4.5999999999999996</v>
      </c>
      <c r="E2713" s="21"/>
      <c r="F2713" s="2">
        <f t="shared" si="63"/>
        <v>0</v>
      </c>
      <c r="G2713" s="3" t="str">
        <f>HYPERLINK("http://tmmp-catalog.com.ua/katalog/18/17428/","фото")</f>
        <v>фото</v>
      </c>
      <c r="H2713" s="22"/>
    </row>
    <row r="2714" spans="1:8" ht="15" x14ac:dyDescent="0.2">
      <c r="A2714" s="18"/>
      <c r="B2714" s="19" t="s">
        <v>5446</v>
      </c>
      <c r="C2714" s="20" t="s">
        <v>5447</v>
      </c>
      <c r="D2714" s="2">
        <v>9.75</v>
      </c>
      <c r="E2714" s="21"/>
      <c r="F2714" s="2">
        <f t="shared" si="63"/>
        <v>0</v>
      </c>
      <c r="G2714" s="3" t="str">
        <f>HYPERLINK("http://tmmp-catalog.com.ua/katalog/18/18809/","фото")</f>
        <v>фото</v>
      </c>
      <c r="H2714" s="22"/>
    </row>
    <row r="2715" spans="1:8" ht="15" x14ac:dyDescent="0.2">
      <c r="A2715" s="18">
        <v>2000000011257</v>
      </c>
      <c r="B2715" s="19" t="s">
        <v>5448</v>
      </c>
      <c r="C2715" s="20" t="s">
        <v>5449</v>
      </c>
      <c r="D2715" s="2">
        <v>7.5</v>
      </c>
      <c r="E2715" s="21"/>
      <c r="F2715" s="2">
        <f t="shared" si="63"/>
        <v>0</v>
      </c>
      <c r="G2715" s="3" t="str">
        <f>HYPERLINK("http://tmmp-catalog.com.ua/katalog/18/14266/","фото")</f>
        <v>фото</v>
      </c>
      <c r="H2715" s="22"/>
    </row>
    <row r="2716" spans="1:8" ht="15" x14ac:dyDescent="0.2">
      <c r="A2716" s="18">
        <v>2000000011264</v>
      </c>
      <c r="B2716" s="19" t="s">
        <v>5450</v>
      </c>
      <c r="C2716" s="20" t="s">
        <v>5451</v>
      </c>
      <c r="D2716" s="2">
        <v>3</v>
      </c>
      <c r="E2716" s="21"/>
      <c r="F2716" s="2">
        <f t="shared" si="63"/>
        <v>0</v>
      </c>
      <c r="G2716" s="3" t="str">
        <f>HYPERLINK("http://tmmp-catalog.com.ua/katalog/18/14267/","фото")</f>
        <v>фото</v>
      </c>
      <c r="H2716" s="22"/>
    </row>
    <row r="2717" spans="1:8" ht="15" x14ac:dyDescent="0.2">
      <c r="A2717" s="18">
        <v>2000000011271</v>
      </c>
      <c r="B2717" s="19" t="s">
        <v>5452</v>
      </c>
      <c r="C2717" s="20" t="s">
        <v>5453</v>
      </c>
      <c r="D2717" s="2">
        <v>0.3</v>
      </c>
      <c r="E2717" s="21"/>
      <c r="F2717" s="2">
        <f t="shared" si="63"/>
        <v>0</v>
      </c>
      <c r="G2717" s="3" t="str">
        <f>HYPERLINK("http://tmmp-catalog.com.ua/katalog/18/14268/","фото")</f>
        <v>фото</v>
      </c>
      <c r="H2717" s="22"/>
    </row>
    <row r="2718" spans="1:8" ht="15" x14ac:dyDescent="0.2">
      <c r="A2718" s="18">
        <v>2000000011288</v>
      </c>
      <c r="B2718" s="19" t="s">
        <v>5454</v>
      </c>
      <c r="C2718" s="20" t="s">
        <v>5455</v>
      </c>
      <c r="D2718" s="2">
        <v>5</v>
      </c>
      <c r="E2718" s="21"/>
      <c r="F2718" s="2">
        <f t="shared" si="63"/>
        <v>0</v>
      </c>
      <c r="G2718" s="3" t="str">
        <f>HYPERLINK("http://tmmp-catalog.com.ua/katalog/18/14269/","фото")</f>
        <v>фото</v>
      </c>
      <c r="H2718" s="22"/>
    </row>
    <row r="2719" spans="1:8" ht="15" x14ac:dyDescent="0.2">
      <c r="A2719" s="18">
        <v>2000000011301</v>
      </c>
      <c r="B2719" s="19" t="s">
        <v>5456</v>
      </c>
      <c r="C2719" s="20" t="s">
        <v>5457</v>
      </c>
      <c r="D2719" s="2">
        <v>0.3</v>
      </c>
      <c r="E2719" s="21"/>
      <c r="F2719" s="2">
        <f t="shared" si="63"/>
        <v>0</v>
      </c>
      <c r="G2719" s="3" t="str">
        <f>HYPERLINK("http://tmmp-catalog.com.ua/katalog/18/14271/","фото")</f>
        <v>фото</v>
      </c>
      <c r="H2719" s="22"/>
    </row>
    <row r="2720" spans="1:8" ht="15" x14ac:dyDescent="0.2">
      <c r="A2720" s="18">
        <v>2000000011318</v>
      </c>
      <c r="B2720" s="19" t="s">
        <v>5458</v>
      </c>
      <c r="C2720" s="20" t="s">
        <v>5459</v>
      </c>
      <c r="D2720" s="2">
        <v>0.3</v>
      </c>
      <c r="E2720" s="21"/>
      <c r="F2720" s="2">
        <f t="shared" si="63"/>
        <v>0</v>
      </c>
      <c r="G2720" s="3" t="str">
        <f>HYPERLINK("http://tmmp-catalog.com.ua/katalog/18/14272/","фото")</f>
        <v>фото</v>
      </c>
      <c r="H2720" s="22"/>
    </row>
    <row r="2721" spans="1:8" ht="15" x14ac:dyDescent="0.2">
      <c r="A2721" s="18">
        <v>2000000011615</v>
      </c>
      <c r="B2721" s="19" t="s">
        <v>5460</v>
      </c>
      <c r="C2721" s="20" t="s">
        <v>5461</v>
      </c>
      <c r="D2721" s="2">
        <v>1.7</v>
      </c>
      <c r="E2721" s="21"/>
      <c r="F2721" s="2">
        <f t="shared" si="63"/>
        <v>0</v>
      </c>
      <c r="G2721" s="3" t="str">
        <f>HYPERLINK("http://tmmp-catalog.com.ua/katalog/18/14305/","фото")</f>
        <v>фото</v>
      </c>
      <c r="H2721" s="22"/>
    </row>
    <row r="2722" spans="1:8" ht="15" x14ac:dyDescent="0.2">
      <c r="A2722" s="18">
        <v>2000000011332</v>
      </c>
      <c r="B2722" s="19" t="s">
        <v>5462</v>
      </c>
      <c r="C2722" s="20" t="s">
        <v>5463</v>
      </c>
      <c r="D2722" s="2">
        <v>1</v>
      </c>
      <c r="E2722" s="21"/>
      <c r="F2722" s="2">
        <f t="shared" si="63"/>
        <v>0</v>
      </c>
      <c r="G2722" s="3" t="str">
        <f>HYPERLINK("http://tmmp-catalog.com.ua/katalog/18/14274/","фото")</f>
        <v>фото</v>
      </c>
      <c r="H2722" s="22"/>
    </row>
    <row r="2723" spans="1:8" ht="15" x14ac:dyDescent="0.2">
      <c r="A2723" s="18">
        <v>2000000011462</v>
      </c>
      <c r="B2723" s="19" t="s">
        <v>5464</v>
      </c>
      <c r="C2723" s="20" t="s">
        <v>5465</v>
      </c>
      <c r="D2723" s="2">
        <v>0.5</v>
      </c>
      <c r="E2723" s="21"/>
      <c r="F2723" s="2">
        <f t="shared" si="63"/>
        <v>0</v>
      </c>
      <c r="G2723" s="3" t="str">
        <f>HYPERLINK("http://tmmp-catalog.com.ua/katalog/18/14289/","фото")</f>
        <v>фото</v>
      </c>
      <c r="H2723" s="22"/>
    </row>
    <row r="2724" spans="1:8" ht="15" x14ac:dyDescent="0.2">
      <c r="A2724" s="18">
        <v>2000000011479</v>
      </c>
      <c r="B2724" s="19" t="s">
        <v>5466</v>
      </c>
      <c r="C2724" s="20" t="s">
        <v>5467</v>
      </c>
      <c r="D2724" s="2">
        <v>0.5</v>
      </c>
      <c r="E2724" s="21"/>
      <c r="F2724" s="2">
        <f t="shared" si="63"/>
        <v>0</v>
      </c>
      <c r="G2724" s="3" t="str">
        <f>HYPERLINK("http://tmmp-catalog.com.ua/katalog/18/14290/","фото")</f>
        <v>фото</v>
      </c>
      <c r="H2724" s="22"/>
    </row>
    <row r="2725" spans="1:8" ht="15" x14ac:dyDescent="0.2">
      <c r="A2725" s="18">
        <v>2000000011608</v>
      </c>
      <c r="B2725" s="19" t="s">
        <v>5468</v>
      </c>
      <c r="C2725" s="20" t="s">
        <v>5469</v>
      </c>
      <c r="D2725" s="2">
        <v>0.8</v>
      </c>
      <c r="E2725" s="21"/>
      <c r="F2725" s="2">
        <f t="shared" si="63"/>
        <v>0</v>
      </c>
      <c r="G2725" s="3" t="str">
        <f>HYPERLINK("http://tmmp-catalog.com.ua/katalog/18/14303/","фото")</f>
        <v>фото</v>
      </c>
      <c r="H2725" s="22"/>
    </row>
    <row r="2726" spans="1:8" ht="15" x14ac:dyDescent="0.2">
      <c r="A2726" s="18">
        <v>2000000011349</v>
      </c>
      <c r="B2726" s="19" t="s">
        <v>5470</v>
      </c>
      <c r="C2726" s="20" t="s">
        <v>5471</v>
      </c>
      <c r="D2726" s="2">
        <v>1.5</v>
      </c>
      <c r="E2726" s="21"/>
      <c r="F2726" s="2">
        <f t="shared" si="63"/>
        <v>0</v>
      </c>
      <c r="G2726" s="3" t="str">
        <f>HYPERLINK("http://tmmp-catalog.com.ua/katalog/18/14276/","фото")</f>
        <v>фото</v>
      </c>
      <c r="H2726" s="22"/>
    </row>
    <row r="2727" spans="1:8" ht="15" x14ac:dyDescent="0.2">
      <c r="A2727" s="18">
        <v>2000000011363</v>
      </c>
      <c r="B2727" s="19" t="s">
        <v>5472</v>
      </c>
      <c r="C2727" s="20" t="s">
        <v>5473</v>
      </c>
      <c r="D2727" s="2">
        <v>6</v>
      </c>
      <c r="E2727" s="21"/>
      <c r="F2727" s="2">
        <f t="shared" si="63"/>
        <v>0</v>
      </c>
      <c r="G2727" s="3" t="str">
        <f>HYPERLINK("http://tmmp-catalog.com.ua/katalog/18/14278/","фото")</f>
        <v>фото</v>
      </c>
      <c r="H2727" s="22"/>
    </row>
    <row r="2728" spans="1:8" ht="15" x14ac:dyDescent="0.2">
      <c r="A2728" s="18">
        <v>2000000011370</v>
      </c>
      <c r="B2728" s="19" t="s">
        <v>5474</v>
      </c>
      <c r="C2728" s="20" t="s">
        <v>5475</v>
      </c>
      <c r="D2728" s="2">
        <v>1.1000000000000001</v>
      </c>
      <c r="E2728" s="21"/>
      <c r="F2728" s="2">
        <f t="shared" si="63"/>
        <v>0</v>
      </c>
      <c r="G2728" s="3" t="str">
        <f>HYPERLINK("http://tmmp-catalog.com.ua/katalog/18/14279/","фото")</f>
        <v>фото</v>
      </c>
      <c r="H2728" s="22"/>
    </row>
    <row r="2729" spans="1:8" ht="15" x14ac:dyDescent="0.2">
      <c r="A2729" s="18">
        <v>2000000011394</v>
      </c>
      <c r="B2729" s="19" t="s">
        <v>5476</v>
      </c>
      <c r="C2729" s="20" t="s">
        <v>5477</v>
      </c>
      <c r="D2729" s="2">
        <v>0.3</v>
      </c>
      <c r="E2729" s="21"/>
      <c r="F2729" s="2">
        <f t="shared" si="63"/>
        <v>0</v>
      </c>
      <c r="G2729" s="3" t="str">
        <f>HYPERLINK("http://tmmp-catalog.com.ua/katalog/18/14281/","фото")</f>
        <v>фото</v>
      </c>
      <c r="H2729" s="22"/>
    </row>
    <row r="2730" spans="1:8" ht="15" x14ac:dyDescent="0.2">
      <c r="A2730" s="18"/>
      <c r="B2730" s="19" t="s">
        <v>5478</v>
      </c>
      <c r="C2730" s="20" t="s">
        <v>5479</v>
      </c>
      <c r="D2730" s="2">
        <v>0.2</v>
      </c>
      <c r="E2730" s="21"/>
      <c r="F2730" s="2">
        <f t="shared" si="63"/>
        <v>0</v>
      </c>
      <c r="G2730" s="3" t="str">
        <f>HYPERLINK("http://tmmp-catalog.com.ua/katalog/18/17429/","фото")</f>
        <v>фото</v>
      </c>
      <c r="H2730" s="22"/>
    </row>
    <row r="2731" spans="1:8" ht="15" x14ac:dyDescent="0.2">
      <c r="A2731" s="18">
        <v>2000000011400</v>
      </c>
      <c r="B2731" s="19" t="s">
        <v>5480</v>
      </c>
      <c r="C2731" s="20" t="s">
        <v>5481</v>
      </c>
      <c r="D2731" s="2">
        <v>0.4</v>
      </c>
      <c r="E2731" s="21"/>
      <c r="F2731" s="2">
        <f t="shared" si="63"/>
        <v>0</v>
      </c>
      <c r="G2731" s="3" t="str">
        <f>HYPERLINK("http://tmmp-catalog.com.ua/katalog/18/14282/","фото")</f>
        <v>фото</v>
      </c>
      <c r="H2731" s="22"/>
    </row>
    <row r="2732" spans="1:8" ht="15" x14ac:dyDescent="0.2">
      <c r="A2732" s="18"/>
      <c r="B2732" s="19" t="s">
        <v>5482</v>
      </c>
      <c r="C2732" s="20" t="s">
        <v>5483</v>
      </c>
      <c r="D2732" s="2">
        <v>1</v>
      </c>
      <c r="E2732" s="21"/>
      <c r="F2732" s="2">
        <f t="shared" si="63"/>
        <v>0</v>
      </c>
      <c r="G2732" s="3" t="str">
        <f>HYPERLINK("http://tmmp-catalog.com.ua/katalog/18/17430/","фото")</f>
        <v>фото</v>
      </c>
      <c r="H2732" s="22"/>
    </row>
    <row r="2733" spans="1:8" ht="15" x14ac:dyDescent="0.2">
      <c r="A2733" s="18">
        <v>2000000011448</v>
      </c>
      <c r="B2733" s="19" t="s">
        <v>5484</v>
      </c>
      <c r="C2733" s="20" t="s">
        <v>5485</v>
      </c>
      <c r="D2733" s="2">
        <v>1</v>
      </c>
      <c r="E2733" s="21"/>
      <c r="F2733" s="2">
        <f t="shared" si="63"/>
        <v>0</v>
      </c>
      <c r="G2733" s="3" t="str">
        <f>HYPERLINK("http://tmmp-catalog.com.ua/katalog/18/14286/","фото")</f>
        <v>фото</v>
      </c>
      <c r="H2733" s="22"/>
    </row>
    <row r="2734" spans="1:8" ht="15" x14ac:dyDescent="0.2">
      <c r="A2734" s="18"/>
      <c r="B2734" s="19" t="s">
        <v>5486</v>
      </c>
      <c r="C2734" s="20" t="s">
        <v>5487</v>
      </c>
      <c r="D2734" s="2">
        <v>0.4</v>
      </c>
      <c r="E2734" s="21"/>
      <c r="F2734" s="2">
        <f t="shared" si="63"/>
        <v>0</v>
      </c>
      <c r="G2734" s="3" t="str">
        <f>HYPERLINK("http://tmmp-catalog.com.ua/katalog/18/17511/","фото")</f>
        <v>фото</v>
      </c>
      <c r="H2734" s="22"/>
    </row>
    <row r="2735" spans="1:8" ht="15" x14ac:dyDescent="0.2">
      <c r="A2735" s="18">
        <v>2000000011455</v>
      </c>
      <c r="B2735" s="19" t="s">
        <v>5488</v>
      </c>
      <c r="C2735" s="20" t="s">
        <v>5489</v>
      </c>
      <c r="D2735" s="2">
        <v>0.9</v>
      </c>
      <c r="E2735" s="21"/>
      <c r="F2735" s="2">
        <f t="shared" si="63"/>
        <v>0</v>
      </c>
      <c r="G2735" s="3" t="str">
        <f>HYPERLINK("http://tmmp-catalog.com.ua/katalog/18/14287/","фото")</f>
        <v>фото</v>
      </c>
      <c r="H2735" s="22"/>
    </row>
    <row r="2736" spans="1:8" ht="15" x14ac:dyDescent="0.2">
      <c r="A2736" s="18">
        <v>2000000011486</v>
      </c>
      <c r="B2736" s="19" t="s">
        <v>5490</v>
      </c>
      <c r="C2736" s="20" t="s">
        <v>5491</v>
      </c>
      <c r="D2736" s="2">
        <v>0.2</v>
      </c>
      <c r="E2736" s="21"/>
      <c r="F2736" s="2">
        <f t="shared" si="63"/>
        <v>0</v>
      </c>
      <c r="G2736" s="3" t="str">
        <f>HYPERLINK("http://tmmp-catalog.com.ua/katalog/18/14291/","фото")</f>
        <v>фото</v>
      </c>
      <c r="H2736" s="22"/>
    </row>
    <row r="2737" spans="1:8" ht="15" x14ac:dyDescent="0.2">
      <c r="A2737" s="18"/>
      <c r="B2737" s="19" t="s">
        <v>5492</v>
      </c>
      <c r="C2737" s="20" t="s">
        <v>5493</v>
      </c>
      <c r="D2737" s="2">
        <v>0.35</v>
      </c>
      <c r="E2737" s="21"/>
      <c r="F2737" s="2">
        <f t="shared" si="63"/>
        <v>0</v>
      </c>
      <c r="G2737" s="3" t="str">
        <f>HYPERLINK("http://tmmp-catalog.com.ua/katalog/18/17431/","фото")</f>
        <v>фото</v>
      </c>
      <c r="H2737" s="22"/>
    </row>
    <row r="2738" spans="1:8" ht="15" x14ac:dyDescent="0.2">
      <c r="A2738" s="18"/>
      <c r="B2738" s="19" t="s">
        <v>5494</v>
      </c>
      <c r="C2738" s="20" t="s">
        <v>5495</v>
      </c>
      <c r="D2738" s="2">
        <v>0.6</v>
      </c>
      <c r="E2738" s="21"/>
      <c r="F2738" s="2">
        <f t="shared" si="63"/>
        <v>0</v>
      </c>
      <c r="G2738" s="3" t="str">
        <f>HYPERLINK("http://tmmp-catalog.com.ua/katalog/18/18828/","фото")</f>
        <v>фото</v>
      </c>
      <c r="H2738" s="22"/>
    </row>
    <row r="2739" spans="1:8" ht="15" x14ac:dyDescent="0.2">
      <c r="A2739" s="18"/>
      <c r="B2739" s="19" t="s">
        <v>5496</v>
      </c>
      <c r="C2739" s="20" t="s">
        <v>5497</v>
      </c>
      <c r="D2739" s="2">
        <v>0.65</v>
      </c>
      <c r="E2739" s="21"/>
      <c r="F2739" s="2">
        <f t="shared" si="63"/>
        <v>0</v>
      </c>
      <c r="G2739" s="3" t="str">
        <f>HYPERLINK("http://tmmp-catalog.com.ua/katalog/18/17512/","фото")</f>
        <v>фото</v>
      </c>
      <c r="H2739" s="22"/>
    </row>
    <row r="2740" spans="1:8" ht="15" x14ac:dyDescent="0.2">
      <c r="A2740" s="18">
        <v>2000000011516</v>
      </c>
      <c r="B2740" s="19" t="s">
        <v>5498</v>
      </c>
      <c r="C2740" s="20" t="s">
        <v>5499</v>
      </c>
      <c r="D2740" s="2">
        <v>1</v>
      </c>
      <c r="E2740" s="21"/>
      <c r="F2740" s="2">
        <f t="shared" si="63"/>
        <v>0</v>
      </c>
      <c r="G2740" s="3" t="str">
        <f>HYPERLINK("http://tmmp-catalog.com.ua/katalog/18/14294/","фото")</f>
        <v>фото</v>
      </c>
      <c r="H2740" s="22"/>
    </row>
    <row r="2741" spans="1:8" ht="15" x14ac:dyDescent="0.2">
      <c r="A2741" s="18">
        <v>2000000011530</v>
      </c>
      <c r="B2741" s="19" t="s">
        <v>5500</v>
      </c>
      <c r="C2741" s="20" t="s">
        <v>5501</v>
      </c>
      <c r="D2741" s="2">
        <v>19.5</v>
      </c>
      <c r="E2741" s="21"/>
      <c r="F2741" s="2">
        <f t="shared" si="63"/>
        <v>0</v>
      </c>
      <c r="G2741" s="3" t="str">
        <f>HYPERLINK("http://tmmp-catalog.com.ua/katalog/18/14296/","фото")</f>
        <v>фото</v>
      </c>
      <c r="H2741" s="22"/>
    </row>
    <row r="2742" spans="1:8" ht="15" x14ac:dyDescent="0.2">
      <c r="A2742" s="18">
        <v>2000000011202</v>
      </c>
      <c r="B2742" s="19" t="s">
        <v>5502</v>
      </c>
      <c r="C2742" s="20" t="s">
        <v>5503</v>
      </c>
      <c r="D2742" s="2">
        <v>1</v>
      </c>
      <c r="E2742" s="21"/>
      <c r="F2742" s="2">
        <f t="shared" si="63"/>
        <v>0</v>
      </c>
      <c r="G2742" s="3" t="str">
        <f>HYPERLINK("http://tmmp-catalog.com.ua/katalog/18/14261/","фото")</f>
        <v>фото</v>
      </c>
      <c r="H2742" s="22"/>
    </row>
    <row r="2743" spans="1:8" ht="15" x14ac:dyDescent="0.2">
      <c r="A2743" s="18">
        <v>2000000011561</v>
      </c>
      <c r="B2743" s="19" t="s">
        <v>5504</v>
      </c>
      <c r="C2743" s="20" t="s">
        <v>5505</v>
      </c>
      <c r="D2743" s="2">
        <v>5</v>
      </c>
      <c r="E2743" s="21"/>
      <c r="F2743" s="2">
        <f t="shared" si="63"/>
        <v>0</v>
      </c>
      <c r="G2743" s="3" t="str">
        <f>HYPERLINK("http://tmmp-catalog.com.ua/katalog/18/14299/","фото")</f>
        <v>фото</v>
      </c>
      <c r="H2743" s="22"/>
    </row>
    <row r="2744" spans="1:8" ht="15" x14ac:dyDescent="0.2">
      <c r="A2744" s="18">
        <v>2000000011240</v>
      </c>
      <c r="B2744" s="19" t="s">
        <v>5506</v>
      </c>
      <c r="C2744" s="20" t="s">
        <v>5507</v>
      </c>
      <c r="D2744" s="2">
        <v>0.5</v>
      </c>
      <c r="E2744" s="21"/>
      <c r="F2744" s="2">
        <f t="shared" si="63"/>
        <v>0</v>
      </c>
      <c r="G2744" s="3" t="str">
        <f>HYPERLINK("http://tmmp-catalog.com.ua/katalog/18/14265/","фото")</f>
        <v>фото</v>
      </c>
      <c r="H2744" s="22"/>
    </row>
    <row r="2745" spans="1:8" ht="15" x14ac:dyDescent="0.2">
      <c r="A2745" s="18">
        <v>2000000011622</v>
      </c>
      <c r="B2745" s="19" t="s">
        <v>5508</v>
      </c>
      <c r="C2745" s="20" t="s">
        <v>5509</v>
      </c>
      <c r="D2745" s="2">
        <v>0.2</v>
      </c>
      <c r="E2745" s="21"/>
      <c r="F2745" s="2">
        <f t="shared" si="63"/>
        <v>0</v>
      </c>
      <c r="G2745" s="3" t="str">
        <f>HYPERLINK("http://tmmp-catalog.com.ua/katalog/18/14306/","фото")</f>
        <v>фото</v>
      </c>
      <c r="H2745" s="22"/>
    </row>
    <row r="2746" spans="1:8" ht="15" x14ac:dyDescent="0.2">
      <c r="A2746" s="18"/>
      <c r="B2746" s="19" t="s">
        <v>5510</v>
      </c>
      <c r="C2746" s="20" t="s">
        <v>5511</v>
      </c>
      <c r="D2746" s="2">
        <v>5</v>
      </c>
      <c r="E2746" s="21"/>
      <c r="F2746" s="2">
        <f t="shared" si="63"/>
        <v>0</v>
      </c>
      <c r="G2746" s="3" t="str">
        <f>HYPERLINK("http://tmmp-catalog.com.ua/katalog/37/18541/","фото")</f>
        <v>фото</v>
      </c>
      <c r="H2746" s="22"/>
    </row>
    <row r="2747" spans="1:8" ht="15" x14ac:dyDescent="0.2">
      <c r="A2747" s="18"/>
      <c r="B2747" s="19" t="s">
        <v>5512</v>
      </c>
      <c r="C2747" s="20" t="s">
        <v>5513</v>
      </c>
      <c r="D2747" s="2">
        <v>4</v>
      </c>
      <c r="E2747" s="21"/>
      <c r="F2747" s="2">
        <f t="shared" si="63"/>
        <v>0</v>
      </c>
      <c r="G2747" s="3" t="str">
        <f>HYPERLINK("http://tmmp-catalog.com.ua/katalog/37/18542/","фото")</f>
        <v>фото</v>
      </c>
      <c r="H2747" s="22"/>
    </row>
    <row r="2748" spans="1:8" ht="15" x14ac:dyDescent="0.2">
      <c r="A2748" s="18">
        <v>2000000011677</v>
      </c>
      <c r="B2748" s="19" t="s">
        <v>5514</v>
      </c>
      <c r="C2748" s="20" t="s">
        <v>5515</v>
      </c>
      <c r="D2748" s="2">
        <v>4.5</v>
      </c>
      <c r="E2748" s="21"/>
      <c r="F2748" s="2">
        <f t="shared" si="63"/>
        <v>0</v>
      </c>
      <c r="G2748" s="3" t="str">
        <f>HYPERLINK("http://tmmp-catalog.com.ua/katalog/18/14311/","фото")</f>
        <v>фото</v>
      </c>
      <c r="H2748" s="22"/>
    </row>
    <row r="2749" spans="1:8" ht="15" x14ac:dyDescent="0.2">
      <c r="A2749" s="18">
        <v>2000000011721</v>
      </c>
      <c r="B2749" s="19" t="s">
        <v>5516</v>
      </c>
      <c r="C2749" s="20" t="s">
        <v>5517</v>
      </c>
      <c r="D2749" s="2">
        <v>0.8</v>
      </c>
      <c r="E2749" s="21"/>
      <c r="F2749" s="2">
        <f t="shared" si="63"/>
        <v>0</v>
      </c>
      <c r="G2749" s="3" t="str">
        <f>HYPERLINK("http://tmmp-catalog.com.ua/katalog/18/16555/","фото")</f>
        <v>фото</v>
      </c>
      <c r="H2749" s="22"/>
    </row>
    <row r="2750" spans="1:8" ht="23.25" x14ac:dyDescent="0.2">
      <c r="A2750" s="18"/>
      <c r="B2750" s="51"/>
      <c r="C2750" s="56" t="s">
        <v>10</v>
      </c>
      <c r="D2750" s="52"/>
      <c r="E2750" s="53"/>
      <c r="F2750" s="52"/>
      <c r="G2750" s="54"/>
      <c r="H2750" s="55"/>
    </row>
    <row r="2751" spans="1:8" ht="15" x14ac:dyDescent="0.2">
      <c r="A2751" s="18">
        <v>2000000017419</v>
      </c>
      <c r="B2751" s="19" t="s">
        <v>5518</v>
      </c>
      <c r="C2751" s="20" t="s">
        <v>5519</v>
      </c>
      <c r="D2751" s="2">
        <v>0.2</v>
      </c>
      <c r="E2751" s="21"/>
      <c r="F2751" s="2">
        <f t="shared" ref="F2751:F2782" si="64">cena*zakaz</f>
        <v>0</v>
      </c>
      <c r="G2751" s="3" t="str">
        <f>HYPERLINK("http://tmmp-catalog.com.ua/katalog/22/15264/","фото")</f>
        <v>фото</v>
      </c>
      <c r="H2751" s="22"/>
    </row>
    <row r="2752" spans="1:8" ht="15" x14ac:dyDescent="0.2">
      <c r="A2752" s="18">
        <v>2000000017426</v>
      </c>
      <c r="B2752" s="19" t="s">
        <v>5520</v>
      </c>
      <c r="C2752" s="20" t="s">
        <v>5521</v>
      </c>
      <c r="D2752" s="2">
        <v>0.2</v>
      </c>
      <c r="E2752" s="21"/>
      <c r="F2752" s="2">
        <f t="shared" si="64"/>
        <v>0</v>
      </c>
      <c r="G2752" s="3" t="str">
        <f>HYPERLINK("http://tmmp-catalog.com.ua/katalog/22/15265/","фото")</f>
        <v>фото</v>
      </c>
      <c r="H2752" s="22"/>
    </row>
    <row r="2753" spans="1:8" ht="15" x14ac:dyDescent="0.2">
      <c r="A2753" s="18">
        <v>2000000017433</v>
      </c>
      <c r="B2753" s="19" t="s">
        <v>5522</v>
      </c>
      <c r="C2753" s="20" t="s">
        <v>5523</v>
      </c>
      <c r="D2753" s="2">
        <v>0.3</v>
      </c>
      <c r="E2753" s="21"/>
      <c r="F2753" s="2">
        <f t="shared" si="64"/>
        <v>0</v>
      </c>
      <c r="G2753" s="3" t="str">
        <f>HYPERLINK("http://tmmp-catalog.com.ua/katalog/22/15266/","фото")</f>
        <v>фото</v>
      </c>
      <c r="H2753" s="22"/>
    </row>
    <row r="2754" spans="1:8" ht="15" x14ac:dyDescent="0.2">
      <c r="A2754" s="18"/>
      <c r="B2754" s="19" t="s">
        <v>5524</v>
      </c>
      <c r="C2754" s="20" t="s">
        <v>5525</v>
      </c>
      <c r="D2754" s="2">
        <v>0.4</v>
      </c>
      <c r="E2754" s="21"/>
      <c r="F2754" s="2">
        <f t="shared" si="64"/>
        <v>0</v>
      </c>
      <c r="G2754" s="3" t="str">
        <f>HYPERLINK("http://tmmp-catalog.com.ua/katalog/37/18317/","фото")</f>
        <v>фото</v>
      </c>
      <c r="H2754" s="22"/>
    </row>
    <row r="2755" spans="1:8" ht="15" x14ac:dyDescent="0.2">
      <c r="A2755" s="18"/>
      <c r="B2755" s="19" t="s">
        <v>5526</v>
      </c>
      <c r="C2755" s="20" t="s">
        <v>5527</v>
      </c>
      <c r="D2755" s="2">
        <v>0.4</v>
      </c>
      <c r="E2755" s="21"/>
      <c r="F2755" s="2">
        <f t="shared" si="64"/>
        <v>0</v>
      </c>
      <c r="G2755" s="3" t="str">
        <f>HYPERLINK("http://tmmp-catalog.com.ua/katalog/37/18318/","фото")</f>
        <v>фото</v>
      </c>
      <c r="H2755" s="22"/>
    </row>
    <row r="2756" spans="1:8" ht="15" x14ac:dyDescent="0.2">
      <c r="A2756" s="18">
        <v>2000000025957</v>
      </c>
      <c r="B2756" s="19" t="s">
        <v>5528</v>
      </c>
      <c r="C2756" s="20" t="s">
        <v>5529</v>
      </c>
      <c r="D2756" s="2">
        <v>1.5</v>
      </c>
      <c r="E2756" s="21"/>
      <c r="F2756" s="2">
        <f t="shared" si="64"/>
        <v>0</v>
      </c>
      <c r="G2756" s="3" t="str">
        <f>HYPERLINK("http://tmmp-catalog.com.ua/katalog/32/16174/","фото")</f>
        <v>фото</v>
      </c>
      <c r="H2756" s="22"/>
    </row>
    <row r="2757" spans="1:8" ht="15" x14ac:dyDescent="0.2">
      <c r="A2757" s="18">
        <v>2000000017464</v>
      </c>
      <c r="B2757" s="19" t="s">
        <v>5530</v>
      </c>
      <c r="C2757" s="20" t="s">
        <v>5531</v>
      </c>
      <c r="D2757" s="2">
        <v>5</v>
      </c>
      <c r="E2757" s="21"/>
      <c r="F2757" s="2">
        <f t="shared" si="64"/>
        <v>0</v>
      </c>
      <c r="G2757" s="3" t="str">
        <f>HYPERLINK("http://tmmp-catalog.com.ua/katalog/22/15269/","фото")</f>
        <v>фото</v>
      </c>
      <c r="H2757" s="22"/>
    </row>
    <row r="2758" spans="1:8" ht="15" x14ac:dyDescent="0.2">
      <c r="A2758" s="18"/>
      <c r="B2758" s="19" t="s">
        <v>5532</v>
      </c>
      <c r="C2758" s="20" t="s">
        <v>5533</v>
      </c>
      <c r="D2758" s="2">
        <v>0.4</v>
      </c>
      <c r="E2758" s="21"/>
      <c r="F2758" s="2">
        <f t="shared" si="64"/>
        <v>0</v>
      </c>
      <c r="G2758" s="3" t="str">
        <f>HYPERLINK("http://tmmp-catalog.com.ua/katalog/37/18357/","фото")</f>
        <v>фото</v>
      </c>
      <c r="H2758" s="22"/>
    </row>
    <row r="2759" spans="1:8" ht="15" x14ac:dyDescent="0.2">
      <c r="A2759" s="18">
        <v>2000000017570</v>
      </c>
      <c r="B2759" s="19" t="s">
        <v>5534</v>
      </c>
      <c r="C2759" s="20" t="s">
        <v>5535</v>
      </c>
      <c r="D2759" s="2">
        <v>1.5</v>
      </c>
      <c r="E2759" s="21"/>
      <c r="F2759" s="2">
        <f t="shared" si="64"/>
        <v>0</v>
      </c>
      <c r="G2759" s="3" t="str">
        <f>HYPERLINK("http://tmmp-catalog.com.ua/katalog/22/15280/","фото")</f>
        <v>фото</v>
      </c>
      <c r="H2759" s="22"/>
    </row>
    <row r="2760" spans="1:8" ht="15" x14ac:dyDescent="0.2">
      <c r="A2760" s="18"/>
      <c r="B2760" s="19" t="s">
        <v>5536</v>
      </c>
      <c r="C2760" s="20" t="s">
        <v>5537</v>
      </c>
      <c r="D2760" s="2">
        <v>1.5</v>
      </c>
      <c r="E2760" s="21"/>
      <c r="F2760" s="2">
        <f t="shared" si="64"/>
        <v>0</v>
      </c>
      <c r="G2760" s="3" t="str">
        <f>HYPERLINK("http://tmmp-catalog.com.ua/katalog/37/18362/","фото")</f>
        <v>фото</v>
      </c>
      <c r="H2760" s="22"/>
    </row>
    <row r="2761" spans="1:8" ht="15" x14ac:dyDescent="0.2">
      <c r="A2761" s="18"/>
      <c r="B2761" s="19" t="s">
        <v>5538</v>
      </c>
      <c r="C2761" s="20" t="s">
        <v>5539</v>
      </c>
      <c r="D2761" s="2">
        <v>1</v>
      </c>
      <c r="E2761" s="21"/>
      <c r="F2761" s="2">
        <f t="shared" si="64"/>
        <v>0</v>
      </c>
      <c r="G2761" s="3" t="str">
        <f>HYPERLINK("http://tmmp-catalog.com.ua/katalog/37/18368/","фото")</f>
        <v>фото</v>
      </c>
      <c r="H2761" s="22"/>
    </row>
    <row r="2762" spans="1:8" ht="15" x14ac:dyDescent="0.2">
      <c r="A2762" s="18"/>
      <c r="B2762" s="19" t="s">
        <v>5540</v>
      </c>
      <c r="C2762" s="20" t="s">
        <v>5541</v>
      </c>
      <c r="D2762" s="2">
        <v>0.5</v>
      </c>
      <c r="E2762" s="21"/>
      <c r="F2762" s="2">
        <f t="shared" si="64"/>
        <v>0</v>
      </c>
      <c r="G2762" s="3" t="str">
        <f>HYPERLINK("http://tmmp-catalog.com.ua/katalog/37/18370/","фото")</f>
        <v>фото</v>
      </c>
      <c r="H2762" s="22"/>
    </row>
    <row r="2763" spans="1:8" ht="15" x14ac:dyDescent="0.2">
      <c r="A2763" s="18"/>
      <c r="B2763" s="19" t="s">
        <v>5542</v>
      </c>
      <c r="C2763" s="20" t="s">
        <v>5543</v>
      </c>
      <c r="D2763" s="2">
        <v>0.2</v>
      </c>
      <c r="E2763" s="21"/>
      <c r="F2763" s="2">
        <f t="shared" si="64"/>
        <v>0</v>
      </c>
      <c r="G2763" s="3" t="str">
        <f>HYPERLINK("http://tmmp-catalog.com.ua/katalog/37/18371/","фото")</f>
        <v>фото</v>
      </c>
      <c r="H2763" s="22"/>
    </row>
    <row r="2764" spans="1:8" ht="15" x14ac:dyDescent="0.2">
      <c r="A2764" s="18">
        <v>2000000017488</v>
      </c>
      <c r="B2764" s="19" t="s">
        <v>5544</v>
      </c>
      <c r="C2764" s="20" t="s">
        <v>5545</v>
      </c>
      <c r="D2764" s="2">
        <v>2</v>
      </c>
      <c r="E2764" s="21"/>
      <c r="F2764" s="2">
        <f t="shared" si="64"/>
        <v>0</v>
      </c>
      <c r="G2764" s="3" t="str">
        <f>HYPERLINK("http://tmmp-catalog.com.ua/katalog/22/15271/","фото")</f>
        <v>фото</v>
      </c>
      <c r="H2764" s="22"/>
    </row>
    <row r="2765" spans="1:8" ht="15" x14ac:dyDescent="0.2">
      <c r="A2765" s="18"/>
      <c r="B2765" s="19" t="s">
        <v>5546</v>
      </c>
      <c r="C2765" s="20" t="s">
        <v>5547</v>
      </c>
      <c r="D2765" s="2">
        <v>0.15</v>
      </c>
      <c r="E2765" s="21"/>
      <c r="F2765" s="2">
        <f t="shared" si="64"/>
        <v>0</v>
      </c>
      <c r="G2765" s="3" t="str">
        <f>HYPERLINK("http://tmmp-catalog.com.ua/katalog/37/18378/","фото")</f>
        <v>фото</v>
      </c>
      <c r="H2765" s="22"/>
    </row>
    <row r="2766" spans="1:8" ht="15" x14ac:dyDescent="0.2">
      <c r="A2766" s="18"/>
      <c r="B2766" s="19" t="s">
        <v>5548</v>
      </c>
      <c r="C2766" s="20" t="s">
        <v>5549</v>
      </c>
      <c r="D2766" s="2">
        <v>0.75</v>
      </c>
      <c r="E2766" s="21"/>
      <c r="F2766" s="2">
        <f t="shared" si="64"/>
        <v>0</v>
      </c>
      <c r="G2766" s="3" t="str">
        <f>HYPERLINK("http://tmmp-catalog.com.ua/katalog/37/18401/","фото")</f>
        <v>фото</v>
      </c>
      <c r="H2766" s="22"/>
    </row>
    <row r="2767" spans="1:8" ht="15" x14ac:dyDescent="0.2">
      <c r="A2767" s="18"/>
      <c r="B2767" s="19" t="s">
        <v>5550</v>
      </c>
      <c r="C2767" s="20" t="s">
        <v>5551</v>
      </c>
      <c r="D2767" s="2">
        <v>1</v>
      </c>
      <c r="E2767" s="21"/>
      <c r="F2767" s="2">
        <f t="shared" si="64"/>
        <v>0</v>
      </c>
      <c r="G2767" s="3" t="str">
        <f>HYPERLINK("http://tmmp-catalog.com.ua/katalog/37/18422/","фото")</f>
        <v>фото</v>
      </c>
      <c r="H2767" s="22"/>
    </row>
    <row r="2768" spans="1:8" ht="15" x14ac:dyDescent="0.2">
      <c r="A2768" s="18">
        <v>2000000026008</v>
      </c>
      <c r="B2768" s="19" t="s">
        <v>5552</v>
      </c>
      <c r="C2768" s="20" t="s">
        <v>5553</v>
      </c>
      <c r="D2768" s="2">
        <v>0.35</v>
      </c>
      <c r="E2768" s="21"/>
      <c r="F2768" s="2">
        <f t="shared" si="64"/>
        <v>0</v>
      </c>
      <c r="G2768" s="3" t="str">
        <f>HYPERLINK("http://tmmp-catalog.com.ua/katalog/32/16179/","фото")</f>
        <v>фото</v>
      </c>
      <c r="H2768" s="22"/>
    </row>
    <row r="2769" spans="1:8" ht="15" x14ac:dyDescent="0.2">
      <c r="A2769" s="18">
        <v>2000000017518</v>
      </c>
      <c r="B2769" s="19" t="s">
        <v>5554</v>
      </c>
      <c r="C2769" s="20" t="s">
        <v>5555</v>
      </c>
      <c r="D2769" s="2">
        <v>0.35</v>
      </c>
      <c r="E2769" s="21"/>
      <c r="F2769" s="2">
        <f t="shared" si="64"/>
        <v>0</v>
      </c>
      <c r="G2769" s="3" t="str">
        <f>HYPERLINK("http://tmmp-catalog.com.ua/katalog/22/15274/","фото")</f>
        <v>фото</v>
      </c>
      <c r="H2769" s="22"/>
    </row>
    <row r="2770" spans="1:8" ht="15" x14ac:dyDescent="0.2">
      <c r="A2770" s="18">
        <v>2000000017525</v>
      </c>
      <c r="B2770" s="19" t="s">
        <v>5556</v>
      </c>
      <c r="C2770" s="20" t="s">
        <v>5557</v>
      </c>
      <c r="D2770" s="2">
        <v>0.7</v>
      </c>
      <c r="E2770" s="21"/>
      <c r="F2770" s="2">
        <f t="shared" si="64"/>
        <v>0</v>
      </c>
      <c r="G2770" s="3" t="str">
        <f>HYPERLINK("http://tmmp-catalog.com.ua/katalog/22/15275/","фото")</f>
        <v>фото</v>
      </c>
      <c r="H2770" s="22"/>
    </row>
    <row r="2771" spans="1:8" ht="15" x14ac:dyDescent="0.2">
      <c r="A2771" s="18"/>
      <c r="B2771" s="19" t="s">
        <v>5558</v>
      </c>
      <c r="C2771" s="20" t="s">
        <v>5559</v>
      </c>
      <c r="D2771" s="2">
        <v>0.1</v>
      </c>
      <c r="E2771" s="21"/>
      <c r="F2771" s="2">
        <f t="shared" si="64"/>
        <v>0</v>
      </c>
      <c r="G2771" s="3" t="str">
        <f>HYPERLINK("http://tmmp-catalog.com.ua/katalog/37/18463/","фото")</f>
        <v>фото</v>
      </c>
      <c r="H2771" s="22"/>
    </row>
    <row r="2772" spans="1:8" ht="15" x14ac:dyDescent="0.2">
      <c r="A2772" s="18"/>
      <c r="B2772" s="19" t="s">
        <v>5560</v>
      </c>
      <c r="C2772" s="20" t="s">
        <v>5561</v>
      </c>
      <c r="D2772" s="2">
        <v>0.4</v>
      </c>
      <c r="E2772" s="21"/>
      <c r="F2772" s="2">
        <f t="shared" si="64"/>
        <v>0</v>
      </c>
      <c r="G2772" s="3" t="str">
        <f>HYPERLINK("http://tmmp-catalog.com.ua/katalog/22/17778/","фото")</f>
        <v>фото</v>
      </c>
      <c r="H2772" s="22"/>
    </row>
    <row r="2773" spans="1:8" ht="15" x14ac:dyDescent="0.2">
      <c r="A2773" s="18"/>
      <c r="B2773" s="19" t="s">
        <v>5562</v>
      </c>
      <c r="C2773" s="20" t="s">
        <v>5563</v>
      </c>
      <c r="D2773" s="2">
        <v>0.5</v>
      </c>
      <c r="E2773" s="21"/>
      <c r="F2773" s="2">
        <f t="shared" si="64"/>
        <v>0</v>
      </c>
      <c r="G2773" s="3" t="str">
        <f>HYPERLINK("http://tmmp-catalog.com.ua/katalog/37/18478/","фото")</f>
        <v>фото</v>
      </c>
      <c r="H2773" s="22"/>
    </row>
    <row r="2774" spans="1:8" ht="15" x14ac:dyDescent="0.2">
      <c r="A2774" s="18">
        <v>2000000017532</v>
      </c>
      <c r="B2774" s="19" t="s">
        <v>5564</v>
      </c>
      <c r="C2774" s="20" t="s">
        <v>5565</v>
      </c>
      <c r="D2774" s="2">
        <v>0.7</v>
      </c>
      <c r="E2774" s="21"/>
      <c r="F2774" s="2">
        <f t="shared" si="64"/>
        <v>0</v>
      </c>
      <c r="G2774" s="3" t="str">
        <f>HYPERLINK("http://tmmp-catalog.com.ua/katalog/22/15276/","фото")</f>
        <v>фото</v>
      </c>
      <c r="H2774" s="22"/>
    </row>
    <row r="2775" spans="1:8" ht="15" x14ac:dyDescent="0.2">
      <c r="A2775" s="18">
        <v>2000000026022</v>
      </c>
      <c r="B2775" s="19" t="s">
        <v>5566</v>
      </c>
      <c r="C2775" s="20" t="s">
        <v>5567</v>
      </c>
      <c r="D2775" s="2">
        <v>0.7</v>
      </c>
      <c r="E2775" s="21"/>
      <c r="F2775" s="2">
        <f t="shared" si="64"/>
        <v>0</v>
      </c>
      <c r="G2775" s="3" t="str">
        <f>HYPERLINK("http://tmmp-catalog.com.ua/katalog/32/16181/","фото")</f>
        <v>фото</v>
      </c>
      <c r="H2775" s="22"/>
    </row>
    <row r="2776" spans="1:8" ht="15" x14ac:dyDescent="0.2">
      <c r="A2776" s="18"/>
      <c r="B2776" s="19" t="s">
        <v>5568</v>
      </c>
      <c r="C2776" s="20" t="s">
        <v>5569</v>
      </c>
      <c r="D2776" s="2">
        <v>0.2</v>
      </c>
      <c r="E2776" s="21"/>
      <c r="F2776" s="2">
        <f t="shared" si="64"/>
        <v>0</v>
      </c>
      <c r="G2776" s="3" t="str">
        <f>HYPERLINK("http://tmmp-catalog.com.ua/katalog/37/18510/","фото")</f>
        <v>фото</v>
      </c>
      <c r="H2776" s="22"/>
    </row>
    <row r="2777" spans="1:8" ht="15" x14ac:dyDescent="0.2">
      <c r="A2777" s="18">
        <v>2000000017563</v>
      </c>
      <c r="B2777" s="19" t="s">
        <v>5570</v>
      </c>
      <c r="C2777" s="20" t="s">
        <v>5571</v>
      </c>
      <c r="D2777" s="2">
        <v>0.3</v>
      </c>
      <c r="E2777" s="21"/>
      <c r="F2777" s="2">
        <f t="shared" si="64"/>
        <v>0</v>
      </c>
      <c r="G2777" s="3" t="str">
        <f>HYPERLINK("http://tmmp-catalog.com.ua/katalog/22/15279/","фото")</f>
        <v>фото</v>
      </c>
      <c r="H2777" s="22"/>
    </row>
    <row r="2778" spans="1:8" ht="15" x14ac:dyDescent="0.2">
      <c r="A2778" s="18"/>
      <c r="B2778" s="19" t="s">
        <v>5572</v>
      </c>
      <c r="C2778" s="20" t="s">
        <v>5573</v>
      </c>
      <c r="D2778" s="2">
        <v>6</v>
      </c>
      <c r="E2778" s="21"/>
      <c r="F2778" s="2">
        <f t="shared" si="64"/>
        <v>0</v>
      </c>
      <c r="G2778" s="3" t="str">
        <f>HYPERLINK("http://tmmp-catalog.com.ua/katalog/22/17238/","фото")</f>
        <v>фото</v>
      </c>
      <c r="H2778" s="22"/>
    </row>
    <row r="2779" spans="1:8" ht="15" x14ac:dyDescent="0.2">
      <c r="A2779" s="18">
        <v>2000000017594</v>
      </c>
      <c r="B2779" s="19" t="s">
        <v>5574</v>
      </c>
      <c r="C2779" s="20" t="s">
        <v>5575</v>
      </c>
      <c r="D2779" s="2">
        <v>0.5</v>
      </c>
      <c r="E2779" s="21"/>
      <c r="F2779" s="2">
        <f t="shared" si="64"/>
        <v>0</v>
      </c>
      <c r="G2779" s="3" t="str">
        <f>HYPERLINK("http://tmmp-catalog.com.ua/katalog/22/15282/","фото")</f>
        <v>фото</v>
      </c>
      <c r="H2779" s="22"/>
    </row>
    <row r="2780" spans="1:8" ht="15" x14ac:dyDescent="0.2">
      <c r="A2780" s="18">
        <v>2000000017587</v>
      </c>
      <c r="B2780" s="19" t="s">
        <v>5576</v>
      </c>
      <c r="C2780" s="20" t="s">
        <v>5577</v>
      </c>
      <c r="D2780" s="2">
        <v>1</v>
      </c>
      <c r="E2780" s="21"/>
      <c r="F2780" s="2">
        <f t="shared" si="64"/>
        <v>0</v>
      </c>
      <c r="G2780" s="3" t="str">
        <f>HYPERLINK("http://tmmp-catalog.com.ua/katalog/22/15281/","фото")</f>
        <v>фото</v>
      </c>
      <c r="H2780" s="22"/>
    </row>
    <row r="2781" spans="1:8" ht="15" x14ac:dyDescent="0.2">
      <c r="A2781" s="18">
        <v>2000000026145</v>
      </c>
      <c r="B2781" s="19" t="s">
        <v>5578</v>
      </c>
      <c r="C2781" s="20" t="s">
        <v>5579</v>
      </c>
      <c r="D2781" s="2">
        <v>0.35</v>
      </c>
      <c r="E2781" s="21"/>
      <c r="F2781" s="2">
        <f t="shared" si="64"/>
        <v>0</v>
      </c>
      <c r="G2781" s="3" t="str">
        <f>HYPERLINK("http://tmmp-catalog.com.ua/katalog/32/16666/","фото")</f>
        <v>фото</v>
      </c>
      <c r="H2781" s="22"/>
    </row>
    <row r="2782" spans="1:8" ht="15" x14ac:dyDescent="0.2">
      <c r="A2782" s="18">
        <v>2000000017600</v>
      </c>
      <c r="B2782" s="19" t="s">
        <v>5580</v>
      </c>
      <c r="C2782" s="20" t="s">
        <v>5581</v>
      </c>
      <c r="D2782" s="2">
        <v>0.5</v>
      </c>
      <c r="E2782" s="21"/>
      <c r="F2782" s="2">
        <f t="shared" si="64"/>
        <v>0</v>
      </c>
      <c r="G2782" s="3" t="str">
        <f>HYPERLINK("http://tmmp-catalog.com.ua/katalog/22/15283/","фото")</f>
        <v>фото</v>
      </c>
      <c r="H2782" s="22"/>
    </row>
    <row r="2783" spans="1:8" ht="23.25" x14ac:dyDescent="0.2">
      <c r="A2783" s="18"/>
      <c r="B2783" s="51"/>
      <c r="C2783" s="56" t="s">
        <v>6</v>
      </c>
      <c r="D2783" s="52"/>
      <c r="E2783" s="53"/>
      <c r="F2783" s="52"/>
      <c r="G2783" s="54"/>
      <c r="H2783" s="55"/>
    </row>
    <row r="2784" spans="1:8" ht="15" x14ac:dyDescent="0.2">
      <c r="A2784" s="18">
        <v>2000000036571</v>
      </c>
      <c r="B2784" s="19" t="s">
        <v>5582</v>
      </c>
      <c r="C2784" s="20" t="s">
        <v>5583</v>
      </c>
      <c r="D2784" s="2">
        <v>3</v>
      </c>
      <c r="E2784" s="21"/>
      <c r="F2784" s="2">
        <f t="shared" ref="F2784:F2815" si="65">cena*zakaz</f>
        <v>0</v>
      </c>
      <c r="G2784" s="3" t="str">
        <f>HYPERLINK("http://tmmp-catalog.com.ua/katalog/29/15356/","фото")</f>
        <v>фото</v>
      </c>
      <c r="H2784" s="22"/>
    </row>
    <row r="2785" spans="1:8" ht="15" x14ac:dyDescent="0.2">
      <c r="A2785" s="18">
        <v>2000000036786</v>
      </c>
      <c r="B2785" s="19" t="s">
        <v>5584</v>
      </c>
      <c r="C2785" s="20" t="s">
        <v>5585</v>
      </c>
      <c r="D2785" s="2">
        <v>0.35</v>
      </c>
      <c r="E2785" s="21"/>
      <c r="F2785" s="2">
        <f t="shared" si="65"/>
        <v>0</v>
      </c>
      <c r="G2785" s="3" t="str">
        <f>HYPERLINK("http://tmmp-catalog.com.ua/katalog/33/16438/","фото")</f>
        <v>фото</v>
      </c>
      <c r="H2785" s="22"/>
    </row>
    <row r="2786" spans="1:8" ht="15" x14ac:dyDescent="0.2">
      <c r="A2786" s="18">
        <v>2000000036793</v>
      </c>
      <c r="B2786" s="19" t="s">
        <v>5586</v>
      </c>
      <c r="C2786" s="20" t="s">
        <v>5587</v>
      </c>
      <c r="D2786" s="2">
        <v>0.3</v>
      </c>
      <c r="E2786" s="21"/>
      <c r="F2786" s="2">
        <f t="shared" si="65"/>
        <v>0</v>
      </c>
      <c r="G2786" s="3" t="str">
        <f>HYPERLINK("http://tmmp-catalog.com.ua/katalog/33/16439/","фото")</f>
        <v>фото</v>
      </c>
      <c r="H2786" s="22"/>
    </row>
    <row r="2787" spans="1:8" ht="15" x14ac:dyDescent="0.2">
      <c r="A2787" s="18">
        <v>2000000036748</v>
      </c>
      <c r="B2787" s="19" t="s">
        <v>5588</v>
      </c>
      <c r="C2787" s="20" t="s">
        <v>5589</v>
      </c>
      <c r="D2787" s="2">
        <v>1.5</v>
      </c>
      <c r="E2787" s="21"/>
      <c r="F2787" s="2">
        <f t="shared" si="65"/>
        <v>0</v>
      </c>
      <c r="G2787" s="3" t="str">
        <f>HYPERLINK("http://tmmp-catalog.com.ua/katalog/33/16203/","фото")</f>
        <v>фото</v>
      </c>
      <c r="H2787" s="22"/>
    </row>
    <row r="2788" spans="1:8" ht="15" x14ac:dyDescent="0.2">
      <c r="A2788" s="18">
        <v>2000000036809</v>
      </c>
      <c r="B2788" s="19" t="s">
        <v>5590</v>
      </c>
      <c r="C2788" s="20" t="s">
        <v>5591</v>
      </c>
      <c r="D2788" s="2">
        <v>1.5</v>
      </c>
      <c r="E2788" s="21"/>
      <c r="F2788" s="2">
        <f t="shared" si="65"/>
        <v>0</v>
      </c>
      <c r="G2788" s="3" t="str">
        <f>HYPERLINK("http://tmmp-catalog.com.ua/katalog/33/16204/","фото")</f>
        <v>фото</v>
      </c>
      <c r="H2788" s="22"/>
    </row>
    <row r="2789" spans="1:8" ht="15" x14ac:dyDescent="0.2">
      <c r="A2789" s="18">
        <v>2000000026152</v>
      </c>
      <c r="B2789" s="19" t="s">
        <v>5592</v>
      </c>
      <c r="C2789" s="20" t="s">
        <v>5593</v>
      </c>
      <c r="D2789" s="2">
        <v>1.7</v>
      </c>
      <c r="E2789" s="21"/>
      <c r="F2789" s="2">
        <f t="shared" si="65"/>
        <v>0</v>
      </c>
      <c r="G2789" s="3" t="str">
        <f>HYPERLINK("http://tmmp-catalog.com.ua/katalog/33/16192/","фото")</f>
        <v>фото</v>
      </c>
      <c r="H2789" s="22"/>
    </row>
    <row r="2790" spans="1:8" ht="15" x14ac:dyDescent="0.2">
      <c r="A2790" s="18">
        <v>2000000026169</v>
      </c>
      <c r="B2790" s="19" t="s">
        <v>5594</v>
      </c>
      <c r="C2790" s="20" t="s">
        <v>5595</v>
      </c>
      <c r="D2790" s="2">
        <v>1.7</v>
      </c>
      <c r="E2790" s="21"/>
      <c r="F2790" s="2">
        <f t="shared" si="65"/>
        <v>0</v>
      </c>
      <c r="G2790" s="3" t="str">
        <f>HYPERLINK("http://tmmp-catalog.com.ua/katalog/33/16193/","фото")</f>
        <v>фото</v>
      </c>
      <c r="H2790" s="22"/>
    </row>
    <row r="2791" spans="1:8" ht="15" x14ac:dyDescent="0.2">
      <c r="A2791" s="18">
        <v>2000000026176</v>
      </c>
      <c r="B2791" s="19" t="s">
        <v>5596</v>
      </c>
      <c r="C2791" s="20" t="s">
        <v>5597</v>
      </c>
      <c r="D2791" s="2">
        <v>0.3</v>
      </c>
      <c r="E2791" s="21"/>
      <c r="F2791" s="2">
        <f t="shared" si="65"/>
        <v>0</v>
      </c>
      <c r="G2791" s="3" t="str">
        <f>HYPERLINK("http://tmmp-catalog.com.ua/katalog/33/16194/","фото")</f>
        <v>фото</v>
      </c>
      <c r="H2791" s="22"/>
    </row>
    <row r="2792" spans="1:8" ht="15" x14ac:dyDescent="0.2">
      <c r="A2792" s="18">
        <v>2000000026220</v>
      </c>
      <c r="B2792" s="19" t="s">
        <v>5598</v>
      </c>
      <c r="C2792" s="20" t="s">
        <v>5599</v>
      </c>
      <c r="D2792" s="2">
        <v>0.3</v>
      </c>
      <c r="E2792" s="21"/>
      <c r="F2792" s="2">
        <f t="shared" si="65"/>
        <v>0</v>
      </c>
      <c r="G2792" s="3" t="str">
        <f>HYPERLINK("http://tmmp-catalog.com.ua/katalog/33/16199/","фото")</f>
        <v>фото</v>
      </c>
      <c r="H2792" s="22"/>
    </row>
    <row r="2793" spans="1:8" ht="15" x14ac:dyDescent="0.2">
      <c r="A2793" s="18">
        <v>2000000026190</v>
      </c>
      <c r="B2793" s="19" t="s">
        <v>5600</v>
      </c>
      <c r="C2793" s="20" t="s">
        <v>5601</v>
      </c>
      <c r="D2793" s="2">
        <v>0.3</v>
      </c>
      <c r="E2793" s="21"/>
      <c r="F2793" s="2">
        <f t="shared" si="65"/>
        <v>0</v>
      </c>
      <c r="G2793" s="3" t="str">
        <f>HYPERLINK("http://tmmp-catalog.com.ua/katalog/33/16196/","фото")</f>
        <v>фото</v>
      </c>
      <c r="H2793" s="22"/>
    </row>
    <row r="2794" spans="1:8" ht="15" x14ac:dyDescent="0.2">
      <c r="A2794" s="18">
        <v>2000000026244</v>
      </c>
      <c r="B2794" s="19" t="s">
        <v>5602</v>
      </c>
      <c r="C2794" s="20" t="s">
        <v>5603</v>
      </c>
      <c r="D2794" s="2">
        <v>0.3</v>
      </c>
      <c r="E2794" s="21"/>
      <c r="F2794" s="2">
        <f t="shared" si="65"/>
        <v>0</v>
      </c>
      <c r="G2794" s="3" t="str">
        <f>HYPERLINK("http://tmmp-catalog.com.ua/katalog/33/16201/","фото")</f>
        <v>фото</v>
      </c>
      <c r="H2794" s="22"/>
    </row>
    <row r="2795" spans="1:8" ht="15" x14ac:dyDescent="0.2">
      <c r="A2795" s="18">
        <v>2000000026251</v>
      </c>
      <c r="B2795" s="19" t="s">
        <v>5604</v>
      </c>
      <c r="C2795" s="20" t="s">
        <v>5605</v>
      </c>
      <c r="D2795" s="2">
        <v>0.3</v>
      </c>
      <c r="E2795" s="21"/>
      <c r="F2795" s="2">
        <f t="shared" si="65"/>
        <v>0</v>
      </c>
      <c r="G2795" s="3" t="str">
        <f>HYPERLINK("http://tmmp-catalog.com.ua/katalog/33/16202/","фото")</f>
        <v>фото</v>
      </c>
      <c r="H2795" s="22"/>
    </row>
    <row r="2796" spans="1:8" ht="15" x14ac:dyDescent="0.2">
      <c r="A2796" s="18">
        <v>2000000036816</v>
      </c>
      <c r="B2796" s="19" t="s">
        <v>5606</v>
      </c>
      <c r="C2796" s="20" t="s">
        <v>5607</v>
      </c>
      <c r="D2796" s="2">
        <v>0.9</v>
      </c>
      <c r="E2796" s="21"/>
      <c r="F2796" s="2">
        <f t="shared" si="65"/>
        <v>0</v>
      </c>
      <c r="G2796" s="3" t="str">
        <f>HYPERLINK("http://tmmp-catalog.com.ua/katalog/18/14315/","фото")</f>
        <v>фото</v>
      </c>
      <c r="H2796" s="22"/>
    </row>
    <row r="2797" spans="1:8" ht="15" x14ac:dyDescent="0.2">
      <c r="A2797" s="18">
        <v>2000000037028</v>
      </c>
      <c r="B2797" s="19" t="s">
        <v>5608</v>
      </c>
      <c r="C2797" s="20" t="s">
        <v>5609</v>
      </c>
      <c r="D2797" s="2">
        <v>0.9</v>
      </c>
      <c r="E2797" s="21"/>
      <c r="F2797" s="2">
        <f t="shared" si="65"/>
        <v>0</v>
      </c>
      <c r="G2797" s="3" t="str">
        <f>HYPERLINK("http://tmmp-catalog.com.ua/katalog/33/16206/","фото")</f>
        <v>фото</v>
      </c>
      <c r="H2797" s="22"/>
    </row>
    <row r="2798" spans="1:8" ht="15" x14ac:dyDescent="0.2">
      <c r="A2798" s="18">
        <v>2000000037035</v>
      </c>
      <c r="B2798" s="19" t="s">
        <v>5610</v>
      </c>
      <c r="C2798" s="20" t="s">
        <v>5611</v>
      </c>
      <c r="D2798" s="2">
        <v>0.9</v>
      </c>
      <c r="E2798" s="21"/>
      <c r="F2798" s="2">
        <f t="shared" si="65"/>
        <v>0</v>
      </c>
      <c r="G2798" s="3" t="str">
        <f>HYPERLINK("http://tmmp-catalog.com.ua/katalog/33/16207/","фото")</f>
        <v>фото</v>
      </c>
      <c r="H2798" s="22"/>
    </row>
    <row r="2799" spans="1:8" ht="15" x14ac:dyDescent="0.2">
      <c r="A2799" s="18">
        <v>2000000037042</v>
      </c>
      <c r="B2799" s="19" t="s">
        <v>5612</v>
      </c>
      <c r="C2799" s="20" t="s">
        <v>5613</v>
      </c>
      <c r="D2799" s="2">
        <v>0.9</v>
      </c>
      <c r="E2799" s="21"/>
      <c r="F2799" s="2">
        <f t="shared" si="65"/>
        <v>0</v>
      </c>
      <c r="G2799" s="3" t="str">
        <f>HYPERLINK("http://tmmp-catalog.com.ua/katalog/33/16208/","фото")</f>
        <v>фото</v>
      </c>
      <c r="H2799" s="22"/>
    </row>
    <row r="2800" spans="1:8" ht="15" x14ac:dyDescent="0.2">
      <c r="A2800" s="18">
        <v>2000000037059</v>
      </c>
      <c r="B2800" s="19" t="s">
        <v>5614</v>
      </c>
      <c r="C2800" s="20" t="s">
        <v>5615</v>
      </c>
      <c r="D2800" s="2">
        <v>0.6</v>
      </c>
      <c r="E2800" s="21"/>
      <c r="F2800" s="2">
        <f t="shared" si="65"/>
        <v>0</v>
      </c>
      <c r="G2800" s="3" t="str">
        <f>HYPERLINK("http://tmmp-catalog.com.ua/katalog/33/16209/","фото")</f>
        <v>фото</v>
      </c>
      <c r="H2800" s="22"/>
    </row>
    <row r="2801" spans="1:8" ht="15" x14ac:dyDescent="0.2">
      <c r="A2801" s="18">
        <v>2000000037448</v>
      </c>
      <c r="B2801" s="19" t="s">
        <v>5616</v>
      </c>
      <c r="C2801" s="20" t="s">
        <v>5617</v>
      </c>
      <c r="D2801" s="2">
        <v>0.1</v>
      </c>
      <c r="E2801" s="21"/>
      <c r="F2801" s="2">
        <f t="shared" si="65"/>
        <v>0</v>
      </c>
      <c r="G2801" s="3" t="str">
        <f>HYPERLINK("http://tmmp-catalog.com.ua/katalog/33/16428/","фото")</f>
        <v>фото</v>
      </c>
      <c r="H2801" s="22"/>
    </row>
    <row r="2802" spans="1:8" ht="15" x14ac:dyDescent="0.2">
      <c r="A2802" s="18">
        <v>2000000037431</v>
      </c>
      <c r="B2802" s="19" t="s">
        <v>5618</v>
      </c>
      <c r="C2802" s="20" t="s">
        <v>5619</v>
      </c>
      <c r="D2802" s="2">
        <v>7.0000000000000007E-2</v>
      </c>
      <c r="E2802" s="21"/>
      <c r="F2802" s="2">
        <f t="shared" si="65"/>
        <v>0</v>
      </c>
      <c r="G2802" s="3" t="str">
        <f>HYPERLINK("http://tmmp-catalog.com.ua/katalog/33/16549/","фото")</f>
        <v>фото</v>
      </c>
      <c r="H2802" s="22"/>
    </row>
    <row r="2803" spans="1:8" ht="15" x14ac:dyDescent="0.2">
      <c r="A2803" s="18">
        <v>2000000023991</v>
      </c>
      <c r="B2803" s="19" t="s">
        <v>5620</v>
      </c>
      <c r="C2803" s="20" t="s">
        <v>5621</v>
      </c>
      <c r="D2803" s="2">
        <v>0.6</v>
      </c>
      <c r="E2803" s="21"/>
      <c r="F2803" s="2">
        <f t="shared" si="65"/>
        <v>0</v>
      </c>
      <c r="G2803" s="3" t="str">
        <f>HYPERLINK("http://tmmp-catalog.com.ua/katalog/29/15409/","фото")</f>
        <v>фото</v>
      </c>
      <c r="H2803" s="22"/>
    </row>
    <row r="2804" spans="1:8" ht="15" x14ac:dyDescent="0.2">
      <c r="A2804" s="18"/>
      <c r="B2804" s="19" t="s">
        <v>5622</v>
      </c>
      <c r="C2804" s="20" t="s">
        <v>5623</v>
      </c>
      <c r="D2804" s="2">
        <v>0.6</v>
      </c>
      <c r="E2804" s="21"/>
      <c r="F2804" s="2">
        <f t="shared" si="65"/>
        <v>0</v>
      </c>
      <c r="G2804" s="3" t="str">
        <f>HYPERLINK("http://tmmp-catalog.com.ua/katalog/37/18642/","фото")</f>
        <v>фото</v>
      </c>
      <c r="H2804" s="22"/>
    </row>
    <row r="2805" spans="1:8" ht="15" x14ac:dyDescent="0.2">
      <c r="A2805" s="18"/>
      <c r="B2805" s="19" t="s">
        <v>5624</v>
      </c>
      <c r="C2805" s="20" t="s">
        <v>5625</v>
      </c>
      <c r="D2805" s="2">
        <v>0.6</v>
      </c>
      <c r="E2805" s="21"/>
      <c r="F2805" s="2">
        <f t="shared" si="65"/>
        <v>0</v>
      </c>
      <c r="G2805" s="3" t="str">
        <f>HYPERLINK("http://tmmp-catalog.com.ua/katalog/33/17670/","фото")</f>
        <v>фото</v>
      </c>
      <c r="H2805" s="22"/>
    </row>
    <row r="2806" spans="1:8" ht="15" x14ac:dyDescent="0.2">
      <c r="A2806" s="18"/>
      <c r="B2806" s="19" t="s">
        <v>5626</v>
      </c>
      <c r="C2806" s="20" t="s">
        <v>5627</v>
      </c>
      <c r="D2806" s="2">
        <v>0.6</v>
      </c>
      <c r="E2806" s="21"/>
      <c r="F2806" s="2">
        <f t="shared" si="65"/>
        <v>0</v>
      </c>
      <c r="G2806" s="3" t="str">
        <f>HYPERLINK("http://tmmp-catalog.com.ua/katalog/33/18143/","фото")</f>
        <v>фото</v>
      </c>
      <c r="H2806" s="22"/>
    </row>
    <row r="2807" spans="1:8" ht="15" x14ac:dyDescent="0.2">
      <c r="A2807" s="18"/>
      <c r="B2807" s="19" t="s">
        <v>5628</v>
      </c>
      <c r="C2807" s="20" t="s">
        <v>5629</v>
      </c>
      <c r="D2807" s="2">
        <v>0.6</v>
      </c>
      <c r="E2807" s="21"/>
      <c r="F2807" s="2">
        <f t="shared" si="65"/>
        <v>0</v>
      </c>
      <c r="G2807" s="3" t="str">
        <f>HYPERLINK("http://tmmp-catalog.com.ua/katalog/33/17671/","фото")</f>
        <v>фото</v>
      </c>
      <c r="H2807" s="22"/>
    </row>
    <row r="2808" spans="1:8" ht="15" x14ac:dyDescent="0.2">
      <c r="A2808" s="18">
        <v>2000000023984</v>
      </c>
      <c r="B2808" s="19" t="s">
        <v>5630</v>
      </c>
      <c r="C2808" s="20" t="s">
        <v>5631</v>
      </c>
      <c r="D2808" s="2">
        <v>0.6</v>
      </c>
      <c r="E2808" s="21"/>
      <c r="F2808" s="2">
        <f t="shared" si="65"/>
        <v>0</v>
      </c>
      <c r="G2808" s="3" t="str">
        <f>HYPERLINK("http://tmmp-catalog.com.ua/katalog/29/15408/","фото")</f>
        <v>фото</v>
      </c>
      <c r="H2808" s="22"/>
    </row>
    <row r="2809" spans="1:8" ht="15" x14ac:dyDescent="0.2">
      <c r="A2809" s="18"/>
      <c r="B2809" s="19" t="s">
        <v>5632</v>
      </c>
      <c r="C2809" s="20" t="s">
        <v>5633</v>
      </c>
      <c r="D2809" s="2">
        <v>0.6</v>
      </c>
      <c r="E2809" s="21"/>
      <c r="F2809" s="2">
        <f t="shared" si="65"/>
        <v>0</v>
      </c>
      <c r="G2809" s="3" t="str">
        <f>HYPERLINK("http://tmmp-catalog.com.ua/katalog/33/17672/","фото")</f>
        <v>фото</v>
      </c>
      <c r="H2809" s="22"/>
    </row>
    <row r="2810" spans="1:8" ht="15" x14ac:dyDescent="0.2">
      <c r="A2810" s="18"/>
      <c r="B2810" s="19" t="s">
        <v>5634</v>
      </c>
      <c r="C2810" s="20" t="s">
        <v>5635</v>
      </c>
      <c r="D2810" s="2">
        <v>0.6</v>
      </c>
      <c r="E2810" s="21"/>
      <c r="F2810" s="2">
        <f t="shared" si="65"/>
        <v>0</v>
      </c>
      <c r="G2810" s="3" t="str">
        <f>HYPERLINK("http://tmmp-catalog.com.ua/katalog/33/17669/","фото")</f>
        <v>фото</v>
      </c>
      <c r="H2810" s="22"/>
    </row>
    <row r="2811" spans="1:8" ht="15" x14ac:dyDescent="0.2">
      <c r="A2811" s="18"/>
      <c r="B2811" s="19" t="s">
        <v>5636</v>
      </c>
      <c r="C2811" s="20" t="s">
        <v>5637</v>
      </c>
      <c r="D2811" s="2">
        <v>35</v>
      </c>
      <c r="E2811" s="21"/>
      <c r="F2811" s="2">
        <f t="shared" si="65"/>
        <v>0</v>
      </c>
      <c r="G2811" s="3" t="str">
        <f>HYPERLINK("http://tmmp-catalog.com.ua/katalog/33/17518/","фото")</f>
        <v>фото</v>
      </c>
      <c r="H2811" s="22"/>
    </row>
    <row r="2812" spans="1:8" ht="15" x14ac:dyDescent="0.2">
      <c r="A2812" s="18"/>
      <c r="B2812" s="19" t="s">
        <v>5638</v>
      </c>
      <c r="C2812" s="20" t="s">
        <v>5639</v>
      </c>
      <c r="D2812" s="2">
        <v>30</v>
      </c>
      <c r="E2812" s="21"/>
      <c r="F2812" s="2">
        <f t="shared" si="65"/>
        <v>0</v>
      </c>
      <c r="G2812" s="3" t="str">
        <f>HYPERLINK("http://tmmp-catalog.com.ua/katalog/33/17519/","фото")</f>
        <v>фото</v>
      </c>
      <c r="H2812" s="22"/>
    </row>
    <row r="2813" spans="1:8" ht="15" x14ac:dyDescent="0.2">
      <c r="A2813" s="18"/>
      <c r="B2813" s="19" t="s">
        <v>5640</v>
      </c>
      <c r="C2813" s="20" t="s">
        <v>5641</v>
      </c>
      <c r="D2813" s="2">
        <v>0.25</v>
      </c>
      <c r="E2813" s="21"/>
      <c r="F2813" s="2">
        <f t="shared" si="65"/>
        <v>0</v>
      </c>
      <c r="G2813" s="3" t="str">
        <f>HYPERLINK("http://tmmp-catalog.com.ua/katalog/33/17515/","фото")</f>
        <v>фото</v>
      </c>
      <c r="H2813" s="22"/>
    </row>
    <row r="2814" spans="1:8" ht="15" x14ac:dyDescent="0.2">
      <c r="A2814" s="18"/>
      <c r="B2814" s="19" t="s">
        <v>5642</v>
      </c>
      <c r="C2814" s="20" t="s">
        <v>5643</v>
      </c>
      <c r="D2814" s="2">
        <v>0.2</v>
      </c>
      <c r="E2814" s="21"/>
      <c r="F2814" s="2">
        <f t="shared" si="65"/>
        <v>0</v>
      </c>
      <c r="G2814" s="3" t="str">
        <f>HYPERLINK("http://tmmp-catalog.com.ua/katalog/37/18528/","фото")</f>
        <v>фото</v>
      </c>
      <c r="H2814" s="22"/>
    </row>
    <row r="2815" spans="1:8" ht="15" x14ac:dyDescent="0.2">
      <c r="A2815" s="18"/>
      <c r="B2815" s="19" t="s">
        <v>5644</v>
      </c>
      <c r="C2815" s="20" t="s">
        <v>5645</v>
      </c>
      <c r="D2815" s="2">
        <v>0.4</v>
      </c>
      <c r="E2815" s="21"/>
      <c r="F2815" s="2">
        <f t="shared" si="65"/>
        <v>0</v>
      </c>
      <c r="G2815" s="3" t="str">
        <f>HYPERLINK("http://tmmp-catalog.com.ua/katalog/20/16390/","фото")</f>
        <v>фото</v>
      </c>
      <c r="H2815" s="22"/>
    </row>
    <row r="2816" spans="1:8" ht="15" x14ac:dyDescent="0.2">
      <c r="A2816" s="18">
        <v>2000000026398</v>
      </c>
      <c r="B2816" s="19" t="s">
        <v>5646</v>
      </c>
      <c r="C2816" s="20" t="s">
        <v>5647</v>
      </c>
      <c r="D2816" s="2">
        <v>4.5</v>
      </c>
      <c r="E2816" s="21"/>
      <c r="F2816" s="2">
        <f t="shared" ref="F2816:F2836" si="66">cena*zakaz</f>
        <v>0</v>
      </c>
      <c r="G2816" s="3" t="str">
        <f>HYPERLINK("http://tmmp-catalog.com.ua/katalog/33/16420/","фото")</f>
        <v>фото</v>
      </c>
      <c r="H2816" s="22"/>
    </row>
    <row r="2817" spans="1:8" ht="15" x14ac:dyDescent="0.2">
      <c r="A2817" s="18">
        <v>2000000026381</v>
      </c>
      <c r="B2817" s="19" t="s">
        <v>5648</v>
      </c>
      <c r="C2817" s="20" t="s">
        <v>5649</v>
      </c>
      <c r="D2817" s="2">
        <v>4.5</v>
      </c>
      <c r="E2817" s="21"/>
      <c r="F2817" s="2">
        <f t="shared" si="66"/>
        <v>0</v>
      </c>
      <c r="G2817" s="3" t="str">
        <f>HYPERLINK("http://tmmp-catalog.com.ua/katalog/33/16419/","фото")</f>
        <v>фото</v>
      </c>
      <c r="H2817" s="22"/>
    </row>
    <row r="2818" spans="1:8" ht="15" x14ac:dyDescent="0.2">
      <c r="A2818" s="18">
        <v>2000000026459</v>
      </c>
      <c r="B2818" s="19" t="s">
        <v>5650</v>
      </c>
      <c r="C2818" s="20" t="s">
        <v>5651</v>
      </c>
      <c r="D2818" s="2">
        <v>3.2</v>
      </c>
      <c r="E2818" s="21"/>
      <c r="F2818" s="2">
        <f t="shared" si="66"/>
        <v>0</v>
      </c>
      <c r="G2818" s="3" t="str">
        <f>HYPERLINK("http://tmmp-catalog.com.ua/katalog/33/16431/","фото")</f>
        <v>фото</v>
      </c>
      <c r="H2818" s="22"/>
    </row>
    <row r="2819" spans="1:8" ht="15" x14ac:dyDescent="0.2">
      <c r="A2819" s="18">
        <v>2000000026428</v>
      </c>
      <c r="B2819" s="19" t="s">
        <v>5652</v>
      </c>
      <c r="C2819" s="20" t="s">
        <v>5653</v>
      </c>
      <c r="D2819" s="2">
        <v>2.5</v>
      </c>
      <c r="E2819" s="21"/>
      <c r="F2819" s="2">
        <f t="shared" si="66"/>
        <v>0</v>
      </c>
      <c r="G2819" s="3" t="str">
        <f>HYPERLINK("http://tmmp-catalog.com.ua/katalog/33/16425/","фото")</f>
        <v>фото</v>
      </c>
      <c r="H2819" s="22"/>
    </row>
    <row r="2820" spans="1:8" ht="15" x14ac:dyDescent="0.2">
      <c r="A2820" s="18">
        <v>2000000026435</v>
      </c>
      <c r="B2820" s="19" t="s">
        <v>5654</v>
      </c>
      <c r="C2820" s="20" t="s">
        <v>5655</v>
      </c>
      <c r="D2820" s="2">
        <v>3.5</v>
      </c>
      <c r="E2820" s="21"/>
      <c r="F2820" s="2">
        <f t="shared" si="66"/>
        <v>0</v>
      </c>
      <c r="G2820" s="3" t="str">
        <f>HYPERLINK("http://tmmp-catalog.com.ua/katalog/33/16426/","фото")</f>
        <v>фото</v>
      </c>
      <c r="H2820" s="22"/>
    </row>
    <row r="2821" spans="1:8" ht="15" x14ac:dyDescent="0.2">
      <c r="A2821" s="18">
        <v>2000000026442</v>
      </c>
      <c r="B2821" s="19" t="s">
        <v>5656</v>
      </c>
      <c r="C2821" s="20" t="s">
        <v>5657</v>
      </c>
      <c r="D2821" s="2">
        <v>95</v>
      </c>
      <c r="E2821" s="21"/>
      <c r="F2821" s="2">
        <f t="shared" si="66"/>
        <v>0</v>
      </c>
      <c r="G2821" s="3" t="str">
        <f>HYPERLINK("http://tmmp-catalog.com.ua/katalog/33/16427/","фото")</f>
        <v>фото</v>
      </c>
      <c r="H2821" s="22"/>
    </row>
    <row r="2822" spans="1:8" ht="15" x14ac:dyDescent="0.2">
      <c r="A2822" s="18">
        <v>2000000026404</v>
      </c>
      <c r="B2822" s="19" t="s">
        <v>5658</v>
      </c>
      <c r="C2822" s="20" t="s">
        <v>5659</v>
      </c>
      <c r="D2822" s="2">
        <v>120</v>
      </c>
      <c r="E2822" s="21"/>
      <c r="F2822" s="2">
        <f t="shared" si="66"/>
        <v>0</v>
      </c>
      <c r="G2822" s="3" t="str">
        <f>HYPERLINK("http://tmmp-catalog.com.ua/katalog/33/16421/","фото")</f>
        <v>фото</v>
      </c>
      <c r="H2822" s="22"/>
    </row>
    <row r="2823" spans="1:8" ht="15" x14ac:dyDescent="0.2">
      <c r="A2823" s="18">
        <v>2000000026350</v>
      </c>
      <c r="B2823" s="19" t="s">
        <v>5660</v>
      </c>
      <c r="C2823" s="20" t="s">
        <v>5661</v>
      </c>
      <c r="D2823" s="2">
        <v>1.5</v>
      </c>
      <c r="E2823" s="21"/>
      <c r="F2823" s="2">
        <f t="shared" si="66"/>
        <v>0</v>
      </c>
      <c r="G2823" s="3" t="str">
        <f>HYPERLINK("http://tmmp-catalog.com.ua/katalog/33/16220/","фото")</f>
        <v>фото</v>
      </c>
      <c r="H2823" s="22"/>
    </row>
    <row r="2824" spans="1:8" ht="15" x14ac:dyDescent="0.2">
      <c r="A2824" s="18">
        <v>2000000026367</v>
      </c>
      <c r="B2824" s="19" t="s">
        <v>5662</v>
      </c>
      <c r="C2824" s="20" t="s">
        <v>5663</v>
      </c>
      <c r="D2824" s="2">
        <v>1.5</v>
      </c>
      <c r="E2824" s="21"/>
      <c r="F2824" s="2">
        <f t="shared" si="66"/>
        <v>0</v>
      </c>
      <c r="G2824" s="3" t="str">
        <f>HYPERLINK("http://tmmp-catalog.com.ua/katalog/33/16221/","фото")</f>
        <v>фото</v>
      </c>
      <c r="H2824" s="22"/>
    </row>
    <row r="2825" spans="1:8" ht="15" x14ac:dyDescent="0.2">
      <c r="A2825" s="18">
        <v>2000000026336</v>
      </c>
      <c r="B2825" s="19" t="s">
        <v>5664</v>
      </c>
      <c r="C2825" s="20" t="s">
        <v>5665</v>
      </c>
      <c r="D2825" s="2">
        <v>2.5</v>
      </c>
      <c r="E2825" s="21"/>
      <c r="F2825" s="2">
        <f t="shared" si="66"/>
        <v>0</v>
      </c>
      <c r="G2825" s="3" t="str">
        <f>HYPERLINK("http://tmmp-catalog.com.ua/katalog/33/16217/","фото")</f>
        <v>фото</v>
      </c>
      <c r="H2825" s="22"/>
    </row>
    <row r="2826" spans="1:8" ht="15" x14ac:dyDescent="0.2">
      <c r="A2826" s="18"/>
      <c r="B2826" s="19" t="s">
        <v>5666</v>
      </c>
      <c r="C2826" s="20" t="s">
        <v>5667</v>
      </c>
      <c r="D2826" s="2">
        <v>3</v>
      </c>
      <c r="E2826" s="21"/>
      <c r="F2826" s="2">
        <f t="shared" si="66"/>
        <v>0</v>
      </c>
      <c r="G2826" s="3" t="str">
        <f>HYPERLINK("http://tmmp-catalog.com.ua/katalog/33/16218/","фото")</f>
        <v>фото</v>
      </c>
      <c r="H2826" s="22"/>
    </row>
    <row r="2827" spans="1:8" ht="15" x14ac:dyDescent="0.2">
      <c r="A2827" s="18">
        <v>2000000026411</v>
      </c>
      <c r="B2827" s="19" t="s">
        <v>5668</v>
      </c>
      <c r="C2827" s="20" t="s">
        <v>5669</v>
      </c>
      <c r="D2827" s="2">
        <v>2.6</v>
      </c>
      <c r="E2827" s="21"/>
      <c r="F2827" s="2">
        <f t="shared" si="66"/>
        <v>0</v>
      </c>
      <c r="G2827" s="3" t="str">
        <f>HYPERLINK("http://tmmp-catalog.com.ua/katalog/33/16422/","фото")</f>
        <v>фото</v>
      </c>
      <c r="H2827" s="22"/>
    </row>
    <row r="2828" spans="1:8" ht="15" x14ac:dyDescent="0.2">
      <c r="A2828" s="18">
        <v>2000000037554</v>
      </c>
      <c r="B2828" s="19" t="s">
        <v>5670</v>
      </c>
      <c r="C2828" s="20" t="s">
        <v>5671</v>
      </c>
      <c r="D2828" s="2">
        <v>2.2999999999999998</v>
      </c>
      <c r="E2828" s="21"/>
      <c r="F2828" s="2">
        <f t="shared" si="66"/>
        <v>0</v>
      </c>
      <c r="G2828" s="3" t="str">
        <f>HYPERLINK("http://tmmp-catalog.com.ua/katalog/33/17080/","фото")</f>
        <v>фото</v>
      </c>
      <c r="H2828" s="22"/>
    </row>
    <row r="2829" spans="1:8" ht="15" x14ac:dyDescent="0.2">
      <c r="A2829" s="18">
        <v>2000000037561</v>
      </c>
      <c r="B2829" s="19" t="s">
        <v>5672</v>
      </c>
      <c r="C2829" s="20" t="s">
        <v>5673</v>
      </c>
      <c r="D2829" s="2">
        <v>2.6</v>
      </c>
      <c r="E2829" s="21"/>
      <c r="F2829" s="2">
        <f t="shared" si="66"/>
        <v>0</v>
      </c>
      <c r="G2829" s="3" t="str">
        <f>HYPERLINK("http://tmmp-catalog.com.ua/katalog/33/17081/","фото")</f>
        <v>фото</v>
      </c>
      <c r="H2829" s="22"/>
    </row>
    <row r="2830" spans="1:8" ht="15" x14ac:dyDescent="0.2">
      <c r="A2830" s="18">
        <v>2000000037578</v>
      </c>
      <c r="B2830" s="19" t="s">
        <v>5674</v>
      </c>
      <c r="C2830" s="20" t="s">
        <v>5675</v>
      </c>
      <c r="D2830" s="2">
        <v>2.2999999999999998</v>
      </c>
      <c r="E2830" s="21"/>
      <c r="F2830" s="2">
        <f t="shared" si="66"/>
        <v>0</v>
      </c>
      <c r="G2830" s="3" t="str">
        <f>HYPERLINK("http://tmmp-catalog.com.ua/katalog/33/17082/","фото")</f>
        <v>фото</v>
      </c>
      <c r="H2830" s="22"/>
    </row>
    <row r="2831" spans="1:8" ht="15" x14ac:dyDescent="0.2">
      <c r="A2831" s="18">
        <v>2000000037585</v>
      </c>
      <c r="B2831" s="19" t="s">
        <v>5676</v>
      </c>
      <c r="C2831" s="20" t="s">
        <v>5677</v>
      </c>
      <c r="D2831" s="2">
        <v>2.5</v>
      </c>
      <c r="E2831" s="21"/>
      <c r="F2831" s="2">
        <f t="shared" si="66"/>
        <v>0</v>
      </c>
      <c r="G2831" s="3" t="str">
        <f>HYPERLINK("http://tmmp-catalog.com.ua/katalog/33/17083/","фото")</f>
        <v>фото</v>
      </c>
      <c r="H2831" s="22"/>
    </row>
    <row r="2832" spans="1:8" ht="15" x14ac:dyDescent="0.2">
      <c r="A2832" s="18">
        <v>2000000037592</v>
      </c>
      <c r="B2832" s="19" t="s">
        <v>5678</v>
      </c>
      <c r="C2832" s="20" t="s">
        <v>5679</v>
      </c>
      <c r="D2832" s="2">
        <v>2</v>
      </c>
      <c r="E2832" s="21"/>
      <c r="F2832" s="2">
        <f t="shared" si="66"/>
        <v>0</v>
      </c>
      <c r="G2832" s="3" t="str">
        <f>HYPERLINK("http://tmmp-catalog.com.ua/katalog/33/17084/","фото")</f>
        <v>фото</v>
      </c>
      <c r="H2832" s="22"/>
    </row>
    <row r="2833" spans="1:8" ht="15" x14ac:dyDescent="0.2">
      <c r="A2833" s="18">
        <v>2000000037615</v>
      </c>
      <c r="B2833" s="19" t="s">
        <v>5680</v>
      </c>
      <c r="C2833" s="20" t="s">
        <v>5681</v>
      </c>
      <c r="D2833" s="2">
        <v>2.2000000000000002</v>
      </c>
      <c r="E2833" s="21"/>
      <c r="F2833" s="2">
        <f t="shared" si="66"/>
        <v>0</v>
      </c>
      <c r="G2833" s="3" t="str">
        <f>HYPERLINK("http://tmmp-catalog.com.ua/katalog/33/17086/","фото")</f>
        <v>фото</v>
      </c>
      <c r="H2833" s="22"/>
    </row>
    <row r="2834" spans="1:8" ht="15" x14ac:dyDescent="0.2">
      <c r="A2834" s="18">
        <v>2000000037622</v>
      </c>
      <c r="B2834" s="19" t="s">
        <v>5682</v>
      </c>
      <c r="C2834" s="20" t="s">
        <v>5683</v>
      </c>
      <c r="D2834" s="2">
        <v>3</v>
      </c>
      <c r="E2834" s="21"/>
      <c r="F2834" s="2">
        <f t="shared" si="66"/>
        <v>0</v>
      </c>
      <c r="G2834" s="3" t="str">
        <f>HYPERLINK("http://tmmp-catalog.com.ua/katalog/33/17087/","фото")</f>
        <v>фото</v>
      </c>
      <c r="H2834" s="22"/>
    </row>
    <row r="2835" spans="1:8" ht="15" x14ac:dyDescent="0.2">
      <c r="A2835" s="18">
        <v>2000000026282</v>
      </c>
      <c r="B2835" s="19" t="s">
        <v>5684</v>
      </c>
      <c r="C2835" s="20" t="s">
        <v>5685</v>
      </c>
      <c r="D2835" s="2">
        <v>3</v>
      </c>
      <c r="E2835" s="21"/>
      <c r="F2835" s="2">
        <f t="shared" si="66"/>
        <v>0</v>
      </c>
      <c r="G2835" s="3" t="str">
        <f>HYPERLINK("http://tmmp-catalog.com.ua/katalog/33/16212/","фото")</f>
        <v>фото</v>
      </c>
      <c r="H2835" s="22"/>
    </row>
    <row r="2836" spans="1:8" ht="15" x14ac:dyDescent="0.2">
      <c r="A2836" s="18">
        <v>2000000026374</v>
      </c>
      <c r="B2836" s="19" t="s">
        <v>5686</v>
      </c>
      <c r="C2836" s="20" t="s">
        <v>5687</v>
      </c>
      <c r="D2836" s="2">
        <v>1.5</v>
      </c>
      <c r="E2836" s="21"/>
      <c r="F2836" s="2">
        <f t="shared" si="66"/>
        <v>0</v>
      </c>
      <c r="G2836" s="3" t="str">
        <f>HYPERLINK("http://tmmp-catalog.com.ua/katalog/33/16222/","фото")</f>
        <v>фото</v>
      </c>
      <c r="H2836" s="22"/>
    </row>
    <row r="2837" spans="1:8" ht="23.25" x14ac:dyDescent="0.2">
      <c r="A2837" s="18"/>
      <c r="B2837" s="51"/>
      <c r="C2837" s="56" t="s">
        <v>14</v>
      </c>
      <c r="D2837" s="52"/>
      <c r="E2837" s="53"/>
      <c r="F2837" s="52"/>
      <c r="G2837" s="54"/>
      <c r="H2837" s="55"/>
    </row>
    <row r="2838" spans="1:8" ht="15" x14ac:dyDescent="0.2">
      <c r="A2838" s="18"/>
      <c r="B2838" s="19" t="s">
        <v>5688</v>
      </c>
      <c r="C2838" s="20" t="s">
        <v>5689</v>
      </c>
      <c r="D2838" s="2">
        <v>2.2000000000000002</v>
      </c>
      <c r="E2838" s="21"/>
      <c r="F2838" s="2">
        <f t="shared" ref="F2838:F2870" si="67">cena*zakaz</f>
        <v>0</v>
      </c>
      <c r="G2838" s="3" t="str">
        <f>HYPERLINK("http://tmmp-catalog.com.ua/katalog/27/18169/","фото")</f>
        <v>фото</v>
      </c>
      <c r="H2838" s="22"/>
    </row>
    <row r="2839" spans="1:8" ht="15" x14ac:dyDescent="0.2">
      <c r="A2839" s="18"/>
      <c r="B2839" s="19" t="s">
        <v>5690</v>
      </c>
      <c r="C2839" s="20" t="s">
        <v>5691</v>
      </c>
      <c r="D2839" s="2">
        <v>2.7</v>
      </c>
      <c r="E2839" s="21"/>
      <c r="F2839" s="2">
        <f t="shared" si="67"/>
        <v>0</v>
      </c>
      <c r="G2839" s="3" t="str">
        <f>HYPERLINK("http://tmmp-catalog.com.ua/katalog/27/18169/","фото")</f>
        <v>фото</v>
      </c>
      <c r="H2839" s="22"/>
    </row>
    <row r="2840" spans="1:8" ht="15" x14ac:dyDescent="0.2">
      <c r="A2840" s="18">
        <v>2000000021966</v>
      </c>
      <c r="B2840" s="19" t="s">
        <v>5692</v>
      </c>
      <c r="C2840" s="20" t="s">
        <v>5693</v>
      </c>
      <c r="D2840" s="2">
        <v>2</v>
      </c>
      <c r="E2840" s="21"/>
      <c r="F2840" s="2">
        <f t="shared" si="67"/>
        <v>0</v>
      </c>
      <c r="G2840" s="3" t="str">
        <f>HYPERLINK("http://tmmp-catalog.com.ua/katalog/27/15476/","фото")</f>
        <v>фото</v>
      </c>
      <c r="H2840" s="22"/>
    </row>
    <row r="2841" spans="1:8" ht="15" x14ac:dyDescent="0.2">
      <c r="A2841" s="18"/>
      <c r="B2841" s="19" t="s">
        <v>5694</v>
      </c>
      <c r="C2841" s="20" t="s">
        <v>5695</v>
      </c>
      <c r="D2841" s="2">
        <v>2</v>
      </c>
      <c r="E2841" s="21"/>
      <c r="F2841" s="2">
        <f t="shared" si="67"/>
        <v>0</v>
      </c>
      <c r="G2841" s="3" t="str">
        <f>HYPERLINK("http://tmmp-catalog.com.ua/katalog/37/18661/","фото")</f>
        <v>фото</v>
      </c>
      <c r="H2841" s="22"/>
    </row>
    <row r="2842" spans="1:8" ht="15" x14ac:dyDescent="0.2">
      <c r="A2842" s="18">
        <v>2000000022000</v>
      </c>
      <c r="B2842" s="19" t="s">
        <v>5696</v>
      </c>
      <c r="C2842" s="20" t="s">
        <v>5697</v>
      </c>
      <c r="D2842" s="2">
        <v>1.9</v>
      </c>
      <c r="E2842" s="21"/>
      <c r="F2842" s="2">
        <f t="shared" si="67"/>
        <v>0</v>
      </c>
      <c r="G2842" s="3" t="str">
        <f>HYPERLINK("http://tmmp-catalog.com.ua/katalog/27/15480/","фото")</f>
        <v>фото</v>
      </c>
      <c r="H2842" s="22"/>
    </row>
    <row r="2843" spans="1:8" ht="15" x14ac:dyDescent="0.2">
      <c r="A2843" s="18">
        <v>2000000021980</v>
      </c>
      <c r="B2843" s="19" t="s">
        <v>5698</v>
      </c>
      <c r="C2843" s="20" t="s">
        <v>5699</v>
      </c>
      <c r="D2843" s="2">
        <v>2</v>
      </c>
      <c r="E2843" s="21"/>
      <c r="F2843" s="2">
        <f t="shared" si="67"/>
        <v>0</v>
      </c>
      <c r="G2843" s="3" t="str">
        <f>HYPERLINK("http://tmmp-catalog.com.ua/katalog/27/15478/","фото")</f>
        <v>фото</v>
      </c>
      <c r="H2843" s="22"/>
    </row>
    <row r="2844" spans="1:8" ht="15" x14ac:dyDescent="0.2">
      <c r="A2844" s="18">
        <v>2000000022017</v>
      </c>
      <c r="B2844" s="19" t="s">
        <v>5700</v>
      </c>
      <c r="C2844" s="20" t="s">
        <v>5701</v>
      </c>
      <c r="D2844" s="2">
        <v>1.2</v>
      </c>
      <c r="E2844" s="21"/>
      <c r="F2844" s="2">
        <f t="shared" si="67"/>
        <v>0</v>
      </c>
      <c r="G2844" s="3" t="str">
        <f>HYPERLINK("http://tmmp-catalog.com.ua/katalog/27/15481/","фото")</f>
        <v>фото</v>
      </c>
      <c r="H2844" s="22"/>
    </row>
    <row r="2845" spans="1:8" ht="15" x14ac:dyDescent="0.2">
      <c r="A2845" s="18">
        <v>2000000022024</v>
      </c>
      <c r="B2845" s="19" t="s">
        <v>5702</v>
      </c>
      <c r="C2845" s="20" t="s">
        <v>5703</v>
      </c>
      <c r="D2845" s="2">
        <v>2.5</v>
      </c>
      <c r="E2845" s="21"/>
      <c r="F2845" s="2">
        <f t="shared" si="67"/>
        <v>0</v>
      </c>
      <c r="G2845" s="3" t="str">
        <f>HYPERLINK("http://tmmp-catalog.com.ua/katalog/27/15482/","фото")</f>
        <v>фото</v>
      </c>
      <c r="H2845" s="22"/>
    </row>
    <row r="2846" spans="1:8" ht="15" x14ac:dyDescent="0.2">
      <c r="A2846" s="18">
        <v>2000000022031</v>
      </c>
      <c r="B2846" s="19" t="s">
        <v>5704</v>
      </c>
      <c r="C2846" s="20" t="s">
        <v>5705</v>
      </c>
      <c r="D2846" s="2">
        <v>2.5</v>
      </c>
      <c r="E2846" s="21"/>
      <c r="F2846" s="2">
        <f t="shared" si="67"/>
        <v>0</v>
      </c>
      <c r="G2846" s="3" t="str">
        <f>HYPERLINK("http://tmmp-catalog.com.ua/katalog/27/15483/","фото")</f>
        <v>фото</v>
      </c>
      <c r="H2846" s="22"/>
    </row>
    <row r="2847" spans="1:8" ht="15" x14ac:dyDescent="0.2">
      <c r="A2847" s="18"/>
      <c r="B2847" s="19" t="s">
        <v>5706</v>
      </c>
      <c r="C2847" s="20" t="s">
        <v>5707</v>
      </c>
      <c r="D2847" s="2">
        <v>2</v>
      </c>
      <c r="E2847" s="21"/>
      <c r="F2847" s="2">
        <f t="shared" si="67"/>
        <v>0</v>
      </c>
      <c r="G2847" s="3" t="str">
        <f>HYPERLINK("http://tmmp-catalog.com.ua/katalog/37/18314/","фото")</f>
        <v>фото</v>
      </c>
      <c r="H2847" s="22"/>
    </row>
    <row r="2848" spans="1:8" ht="15" x14ac:dyDescent="0.2">
      <c r="A2848" s="18">
        <v>2000000021997</v>
      </c>
      <c r="B2848" s="19" t="s">
        <v>5708</v>
      </c>
      <c r="C2848" s="20" t="s">
        <v>5709</v>
      </c>
      <c r="D2848" s="2">
        <v>2.6</v>
      </c>
      <c r="E2848" s="21"/>
      <c r="F2848" s="2">
        <f t="shared" si="67"/>
        <v>0</v>
      </c>
      <c r="G2848" s="3" t="str">
        <f>HYPERLINK("http://tmmp-catalog.com.ua/katalog/27/15479/","фото")</f>
        <v>фото</v>
      </c>
      <c r="H2848" s="22"/>
    </row>
    <row r="2849" spans="1:8" ht="15" x14ac:dyDescent="0.2">
      <c r="A2849" s="18">
        <v>2000000022062</v>
      </c>
      <c r="B2849" s="19" t="s">
        <v>5710</v>
      </c>
      <c r="C2849" s="20" t="s">
        <v>5711</v>
      </c>
      <c r="D2849" s="2">
        <v>3</v>
      </c>
      <c r="E2849" s="21"/>
      <c r="F2849" s="2">
        <f t="shared" si="67"/>
        <v>0</v>
      </c>
      <c r="G2849" s="3" t="str">
        <f>HYPERLINK("http://tmmp-catalog.com.ua/katalog/27/15486/","фото")</f>
        <v>фото</v>
      </c>
      <c r="H2849" s="22"/>
    </row>
    <row r="2850" spans="1:8" ht="15" x14ac:dyDescent="0.2">
      <c r="A2850" s="18">
        <v>2000000022086</v>
      </c>
      <c r="B2850" s="19" t="s">
        <v>5712</v>
      </c>
      <c r="C2850" s="20" t="s">
        <v>5713</v>
      </c>
      <c r="D2850" s="2">
        <v>0.5</v>
      </c>
      <c r="E2850" s="21"/>
      <c r="F2850" s="2">
        <f t="shared" si="67"/>
        <v>0</v>
      </c>
      <c r="G2850" s="3" t="str">
        <f>HYPERLINK("http://tmmp-catalog.com.ua/katalog/27/15488/","фото")</f>
        <v>фото</v>
      </c>
      <c r="H2850" s="22"/>
    </row>
    <row r="2851" spans="1:8" ht="15" x14ac:dyDescent="0.2">
      <c r="A2851" s="18"/>
      <c r="B2851" s="19" t="s">
        <v>5714</v>
      </c>
      <c r="C2851" s="20" t="s">
        <v>5715</v>
      </c>
      <c r="D2851" s="2">
        <v>23</v>
      </c>
      <c r="E2851" s="21"/>
      <c r="F2851" s="2">
        <f t="shared" si="67"/>
        <v>0</v>
      </c>
      <c r="G2851" s="3" t="str">
        <f>HYPERLINK("http://tmmp-catalog.com.ua/katalog/37/18672/","фото")</f>
        <v>фото</v>
      </c>
      <c r="H2851" s="22"/>
    </row>
    <row r="2852" spans="1:8" ht="15" x14ac:dyDescent="0.2">
      <c r="A2852" s="18"/>
      <c r="B2852" s="19" t="s">
        <v>5716</v>
      </c>
      <c r="C2852" s="20" t="s">
        <v>5717</v>
      </c>
      <c r="D2852" s="2">
        <v>22</v>
      </c>
      <c r="E2852" s="21"/>
      <c r="F2852" s="2">
        <f t="shared" si="67"/>
        <v>0</v>
      </c>
      <c r="G2852" s="3" t="str">
        <f>HYPERLINK("http://tmmp-catalog.com.ua/katalog/27/18207/","фото")</f>
        <v>фото</v>
      </c>
      <c r="H2852" s="22"/>
    </row>
    <row r="2853" spans="1:8" ht="15" x14ac:dyDescent="0.2">
      <c r="A2853" s="18"/>
      <c r="B2853" s="19" t="s">
        <v>5718</v>
      </c>
      <c r="C2853" s="20" t="s">
        <v>5719</v>
      </c>
      <c r="D2853" s="2">
        <v>19</v>
      </c>
      <c r="E2853" s="21"/>
      <c r="F2853" s="2">
        <f t="shared" si="67"/>
        <v>0</v>
      </c>
      <c r="G2853" s="3" t="str">
        <f>HYPERLINK("http://tmmp-catalog.com.ua/katalog/37/18657/","фото")</f>
        <v>фото</v>
      </c>
      <c r="H2853" s="22"/>
    </row>
    <row r="2854" spans="1:8" ht="15" x14ac:dyDescent="0.2">
      <c r="A2854" s="18"/>
      <c r="B2854" s="19" t="s">
        <v>5720</v>
      </c>
      <c r="C2854" s="20" t="s">
        <v>5721</v>
      </c>
      <c r="D2854" s="2">
        <v>21</v>
      </c>
      <c r="E2854" s="21"/>
      <c r="F2854" s="2">
        <f t="shared" si="67"/>
        <v>0</v>
      </c>
      <c r="G2854" s="3" t="str">
        <f>HYPERLINK("http://tmmp-catalog.com.ua/katalog/27/18847/","фото")</f>
        <v>фото</v>
      </c>
      <c r="H2854" s="22"/>
    </row>
    <row r="2855" spans="1:8" ht="15" x14ac:dyDescent="0.2">
      <c r="A2855" s="18"/>
      <c r="B2855" s="19" t="s">
        <v>5722</v>
      </c>
      <c r="C2855" s="20" t="s">
        <v>5723</v>
      </c>
      <c r="D2855" s="2">
        <v>23</v>
      </c>
      <c r="E2855" s="21"/>
      <c r="F2855" s="2">
        <f t="shared" si="67"/>
        <v>0</v>
      </c>
      <c r="G2855" s="3" t="str">
        <f>HYPERLINK("http://tmmp-catalog.com.ua/katalog/27/18822/","фото")</f>
        <v>фото</v>
      </c>
      <c r="H2855" s="22"/>
    </row>
    <row r="2856" spans="1:8" ht="15" x14ac:dyDescent="0.2">
      <c r="A2856" s="18"/>
      <c r="B2856" s="19" t="s">
        <v>5724</v>
      </c>
      <c r="C2856" s="20" t="s">
        <v>5725</v>
      </c>
      <c r="D2856" s="2">
        <v>23</v>
      </c>
      <c r="E2856" s="21"/>
      <c r="F2856" s="2">
        <f t="shared" si="67"/>
        <v>0</v>
      </c>
      <c r="G2856" s="3" t="str">
        <f>HYPERLINK("http://tmmp-catalog.com.ua/katalog/27/18191/","фото")</f>
        <v>фото</v>
      </c>
      <c r="H2856" s="22"/>
    </row>
    <row r="2857" spans="1:8" ht="15" x14ac:dyDescent="0.2">
      <c r="A2857" s="18">
        <v>2000000022130</v>
      </c>
      <c r="B2857" s="19" t="s">
        <v>5726</v>
      </c>
      <c r="C2857" s="20" t="s">
        <v>5727</v>
      </c>
      <c r="D2857" s="2">
        <v>10</v>
      </c>
      <c r="E2857" s="21"/>
      <c r="F2857" s="2">
        <f t="shared" si="67"/>
        <v>0</v>
      </c>
      <c r="G2857" s="3" t="str">
        <f>HYPERLINK("http://tmmp-catalog.com.ua/katalog/27/15493/","фото")</f>
        <v>фото</v>
      </c>
      <c r="H2857" s="22"/>
    </row>
    <row r="2858" spans="1:8" ht="15" x14ac:dyDescent="0.2">
      <c r="A2858" s="18">
        <v>2000000022437</v>
      </c>
      <c r="B2858" s="19" t="s">
        <v>5728</v>
      </c>
      <c r="C2858" s="20" t="s">
        <v>5729</v>
      </c>
      <c r="D2858" s="2">
        <v>12.5</v>
      </c>
      <c r="E2858" s="21"/>
      <c r="F2858" s="2">
        <f t="shared" si="67"/>
        <v>0</v>
      </c>
      <c r="G2858" s="3" t="str">
        <f>HYPERLINK("http://tmmp-catalog.com.ua/katalog/27/16736/","фото")</f>
        <v>фото</v>
      </c>
      <c r="H2858" s="22"/>
    </row>
    <row r="2859" spans="1:8" ht="15" x14ac:dyDescent="0.2">
      <c r="A2859" s="18">
        <v>2000000022208</v>
      </c>
      <c r="B2859" s="19" t="s">
        <v>5730</v>
      </c>
      <c r="C2859" s="20" t="s">
        <v>5731</v>
      </c>
      <c r="D2859" s="2">
        <v>15</v>
      </c>
      <c r="E2859" s="21"/>
      <c r="F2859" s="2">
        <f t="shared" si="67"/>
        <v>0</v>
      </c>
      <c r="G2859" s="3" t="str">
        <f>HYPERLINK("http://tmmp-catalog.com.ua/katalog/27/15500/","фото")</f>
        <v>фото</v>
      </c>
      <c r="H2859" s="22"/>
    </row>
    <row r="2860" spans="1:8" ht="15" x14ac:dyDescent="0.2">
      <c r="A2860" s="18">
        <v>2000000022185</v>
      </c>
      <c r="B2860" s="19" t="s">
        <v>5732</v>
      </c>
      <c r="C2860" s="20" t="s">
        <v>5733</v>
      </c>
      <c r="D2860" s="2">
        <v>15.5</v>
      </c>
      <c r="E2860" s="21"/>
      <c r="F2860" s="2">
        <f t="shared" si="67"/>
        <v>0</v>
      </c>
      <c r="G2860" s="3" t="str">
        <f>HYPERLINK("http://tmmp-catalog.com.ua/katalog/27/15498/","фото")</f>
        <v>фото</v>
      </c>
      <c r="H2860" s="22"/>
    </row>
    <row r="2861" spans="1:8" ht="15" x14ac:dyDescent="0.2">
      <c r="A2861" s="18"/>
      <c r="B2861" s="19" t="s">
        <v>5734</v>
      </c>
      <c r="C2861" s="20" t="s">
        <v>5735</v>
      </c>
      <c r="D2861" s="2">
        <v>12</v>
      </c>
      <c r="E2861" s="21"/>
      <c r="F2861" s="2">
        <f t="shared" si="67"/>
        <v>0</v>
      </c>
      <c r="G2861" s="3" t="str">
        <f>HYPERLINK("http://tmmp-catalog.com.ua/katalog/27/17350/","фото")</f>
        <v>фото</v>
      </c>
      <c r="H2861" s="22"/>
    </row>
    <row r="2862" spans="1:8" ht="15" x14ac:dyDescent="0.2">
      <c r="A2862" s="18"/>
      <c r="B2862" s="19" t="s">
        <v>5736</v>
      </c>
      <c r="C2862" s="20" t="s">
        <v>5737</v>
      </c>
      <c r="D2862" s="2">
        <v>14</v>
      </c>
      <c r="E2862" s="21"/>
      <c r="F2862" s="2">
        <f t="shared" si="67"/>
        <v>0</v>
      </c>
      <c r="G2862" s="3" t="str">
        <f>HYPERLINK("http://tmmp-catalog.com.ua/katalog/27/18218/","фото")</f>
        <v>фото</v>
      </c>
      <c r="H2862" s="22"/>
    </row>
    <row r="2863" spans="1:8" ht="15" x14ac:dyDescent="0.2">
      <c r="A2863" s="18"/>
      <c r="B2863" s="19" t="s">
        <v>5738</v>
      </c>
      <c r="C2863" s="20" t="s">
        <v>5739</v>
      </c>
      <c r="D2863" s="2">
        <v>13</v>
      </c>
      <c r="E2863" s="21"/>
      <c r="F2863" s="2">
        <f t="shared" si="67"/>
        <v>0</v>
      </c>
      <c r="G2863" s="3" t="str">
        <f>HYPERLINK("http://tmmp-catalog.com.ua/katalog/27/17351/","фото")</f>
        <v>фото</v>
      </c>
      <c r="H2863" s="22"/>
    </row>
    <row r="2864" spans="1:8" ht="15" x14ac:dyDescent="0.2">
      <c r="A2864" s="18"/>
      <c r="B2864" s="19" t="s">
        <v>5740</v>
      </c>
      <c r="C2864" s="20" t="s">
        <v>5741</v>
      </c>
      <c r="D2864" s="2">
        <v>25.5</v>
      </c>
      <c r="E2864" s="21"/>
      <c r="F2864" s="2">
        <f t="shared" si="67"/>
        <v>0</v>
      </c>
      <c r="G2864" s="3" t="str">
        <f>HYPERLINK("http://tmmp-catalog.com.ua/katalog/27/18220/","фото")</f>
        <v>фото</v>
      </c>
      <c r="H2864" s="22"/>
    </row>
    <row r="2865" spans="1:8" ht="15" x14ac:dyDescent="0.2">
      <c r="A2865" s="18">
        <v>2000000022291</v>
      </c>
      <c r="B2865" s="19" t="s">
        <v>5742</v>
      </c>
      <c r="C2865" s="20" t="s">
        <v>5743</v>
      </c>
      <c r="D2865" s="2">
        <v>25</v>
      </c>
      <c r="E2865" s="21"/>
      <c r="F2865" s="2">
        <f t="shared" si="67"/>
        <v>0</v>
      </c>
      <c r="G2865" s="3" t="str">
        <f>HYPERLINK("http://tmmp-catalog.com.ua/katalog/27/15509/","фото")</f>
        <v>фото</v>
      </c>
      <c r="H2865" s="22"/>
    </row>
    <row r="2866" spans="1:8" ht="15" x14ac:dyDescent="0.2">
      <c r="A2866" s="18">
        <v>2000000022321</v>
      </c>
      <c r="B2866" s="19" t="s">
        <v>5744</v>
      </c>
      <c r="C2866" s="20" t="s">
        <v>5745</v>
      </c>
      <c r="D2866" s="2">
        <v>29</v>
      </c>
      <c r="E2866" s="21"/>
      <c r="F2866" s="2">
        <f t="shared" si="67"/>
        <v>0</v>
      </c>
      <c r="G2866" s="3" t="str">
        <f>HYPERLINK("http://tmmp-catalog.com.ua/katalog/27/15512/","фото")</f>
        <v>фото</v>
      </c>
      <c r="H2866" s="22"/>
    </row>
    <row r="2867" spans="1:8" ht="15" x14ac:dyDescent="0.2">
      <c r="A2867" s="18">
        <v>2000000022314</v>
      </c>
      <c r="B2867" s="19" t="s">
        <v>5746</v>
      </c>
      <c r="C2867" s="20" t="s">
        <v>5747</v>
      </c>
      <c r="D2867" s="2">
        <v>23</v>
      </c>
      <c r="E2867" s="21"/>
      <c r="F2867" s="2">
        <f t="shared" si="67"/>
        <v>0</v>
      </c>
      <c r="G2867" s="3" t="str">
        <f>HYPERLINK("http://tmmp-catalog.com.ua/katalog/27/15511/","фото")</f>
        <v>фото</v>
      </c>
      <c r="H2867" s="22"/>
    </row>
    <row r="2868" spans="1:8" ht="15" x14ac:dyDescent="0.2">
      <c r="A2868" s="18"/>
      <c r="B2868" s="19" t="s">
        <v>5748</v>
      </c>
      <c r="C2868" s="20" t="s">
        <v>5749</v>
      </c>
      <c r="D2868" s="2">
        <v>32</v>
      </c>
      <c r="E2868" s="21"/>
      <c r="F2868" s="2">
        <f t="shared" si="67"/>
        <v>0</v>
      </c>
      <c r="G2868" s="3" t="str">
        <f>HYPERLINK("http://tmmp-catalog.com.ua/katalog/27/17273/","фото")</f>
        <v>фото</v>
      </c>
      <c r="H2868" s="22"/>
    </row>
    <row r="2869" spans="1:8" ht="15" x14ac:dyDescent="0.2">
      <c r="A2869" s="18"/>
      <c r="B2869" s="19" t="s">
        <v>5750</v>
      </c>
      <c r="C2869" s="20" t="s">
        <v>5751</v>
      </c>
      <c r="D2869" s="2">
        <v>22</v>
      </c>
      <c r="E2869" s="21"/>
      <c r="F2869" s="2">
        <f t="shared" si="67"/>
        <v>0</v>
      </c>
      <c r="G2869" s="3" t="str">
        <f>HYPERLINK("http://tmmp-catalog.com.ua/katalog/27/18260/","фото")</f>
        <v>фото</v>
      </c>
      <c r="H2869" s="22"/>
    </row>
    <row r="2870" spans="1:8" ht="15" x14ac:dyDescent="0.2">
      <c r="A2870" s="18">
        <v>2000000022390</v>
      </c>
      <c r="B2870" s="19" t="s">
        <v>5752</v>
      </c>
      <c r="C2870" s="20" t="s">
        <v>5753</v>
      </c>
      <c r="D2870" s="2">
        <v>15</v>
      </c>
      <c r="E2870" s="21"/>
      <c r="F2870" s="2">
        <f t="shared" si="67"/>
        <v>0</v>
      </c>
      <c r="G2870" s="3" t="str">
        <f>HYPERLINK("http://tmmp-catalog.com.ua/katalog/27/15519/","фото")</f>
        <v>фото</v>
      </c>
      <c r="H2870" s="22"/>
    </row>
    <row r="2871" spans="1:8" ht="23.25" x14ac:dyDescent="0.2">
      <c r="A2871" s="18"/>
      <c r="B2871" s="51"/>
      <c r="C2871" s="56" t="s">
        <v>15</v>
      </c>
      <c r="D2871" s="52"/>
      <c r="E2871" s="53"/>
      <c r="F2871" s="52"/>
      <c r="G2871" s="54"/>
      <c r="H2871" s="55"/>
    </row>
    <row r="2872" spans="1:8" ht="15" x14ac:dyDescent="0.2">
      <c r="A2872" s="18">
        <v>2000000031224</v>
      </c>
      <c r="B2872" s="19" t="s">
        <v>5754</v>
      </c>
      <c r="C2872" s="20" t="s">
        <v>5755</v>
      </c>
      <c r="D2872" s="2">
        <v>27</v>
      </c>
      <c r="E2872" s="21"/>
      <c r="F2872" s="2">
        <f t="shared" ref="F2872:F2896" si="68">cena*zakaz</f>
        <v>0</v>
      </c>
      <c r="G2872" s="3" t="str">
        <f>HYPERLINK("http://tmmp-catalog.com.ua/katalog/8/13327/","фото")</f>
        <v>фото</v>
      </c>
      <c r="H2872" s="22"/>
    </row>
    <row r="2873" spans="1:8" ht="15" x14ac:dyDescent="0.2">
      <c r="A2873" s="18">
        <v>2000000020846</v>
      </c>
      <c r="B2873" s="19" t="s">
        <v>5756</v>
      </c>
      <c r="C2873" s="20" t="s">
        <v>5757</v>
      </c>
      <c r="D2873" s="2">
        <v>45</v>
      </c>
      <c r="E2873" s="21"/>
      <c r="F2873" s="2">
        <f t="shared" si="68"/>
        <v>0</v>
      </c>
      <c r="G2873" s="3" t="str">
        <f>HYPERLINK("http://tmmp-catalog.com.ua/katalog/26/14464/","фото")</f>
        <v>фото</v>
      </c>
      <c r="H2873" s="22"/>
    </row>
    <row r="2874" spans="1:8" ht="15" x14ac:dyDescent="0.2">
      <c r="A2874" s="18">
        <v>2000000020860</v>
      </c>
      <c r="B2874" s="19" t="s">
        <v>5758</v>
      </c>
      <c r="C2874" s="20" t="s">
        <v>5759</v>
      </c>
      <c r="D2874" s="2">
        <v>45</v>
      </c>
      <c r="E2874" s="21"/>
      <c r="F2874" s="2">
        <f t="shared" si="68"/>
        <v>0</v>
      </c>
      <c r="G2874" s="3" t="str">
        <f>HYPERLINK("http://tmmp-catalog.com.ua/katalog/26/14466/","фото")</f>
        <v>фото</v>
      </c>
      <c r="H2874" s="22"/>
    </row>
    <row r="2875" spans="1:8" ht="15" x14ac:dyDescent="0.2">
      <c r="A2875" s="18"/>
      <c r="B2875" s="19" t="s">
        <v>5760</v>
      </c>
      <c r="C2875" s="20" t="s">
        <v>5761</v>
      </c>
      <c r="D2875" s="2">
        <v>29</v>
      </c>
      <c r="E2875" s="21"/>
      <c r="F2875" s="2">
        <f t="shared" si="68"/>
        <v>0</v>
      </c>
      <c r="G2875" s="3" t="str">
        <f>HYPERLINK("http://tmmp-catalog.com.ua/katalog/34/17346/","фото")</f>
        <v>фото</v>
      </c>
      <c r="H2875" s="22"/>
    </row>
    <row r="2876" spans="1:8" ht="15" x14ac:dyDescent="0.2">
      <c r="A2876" s="18"/>
      <c r="B2876" s="19" t="s">
        <v>5762</v>
      </c>
      <c r="C2876" s="20" t="s">
        <v>5763</v>
      </c>
      <c r="D2876" s="2">
        <v>30.5</v>
      </c>
      <c r="E2876" s="21"/>
      <c r="F2876" s="2">
        <f t="shared" si="68"/>
        <v>0</v>
      </c>
      <c r="G2876" s="3" t="str">
        <f>HYPERLINK("http://tmmp-catalog.com.ua/katalog/37/18855/","фото")</f>
        <v>фото</v>
      </c>
      <c r="H2876" s="22"/>
    </row>
    <row r="2877" spans="1:8" ht="15" x14ac:dyDescent="0.2">
      <c r="A2877" s="18"/>
      <c r="B2877" s="19" t="s">
        <v>5764</v>
      </c>
      <c r="C2877" s="20" t="s">
        <v>5765</v>
      </c>
      <c r="D2877" s="2">
        <v>35</v>
      </c>
      <c r="E2877" s="21"/>
      <c r="F2877" s="2">
        <f t="shared" si="68"/>
        <v>0</v>
      </c>
      <c r="G2877" s="3" t="str">
        <f>HYPERLINK("http://tmmp-catalog.com.ua/katalog/34/17714/","фото")</f>
        <v>фото</v>
      </c>
      <c r="H2877" s="22"/>
    </row>
    <row r="2878" spans="1:8" ht="15" x14ac:dyDescent="0.2">
      <c r="A2878" s="18"/>
      <c r="B2878" s="19" t="s">
        <v>5766</v>
      </c>
      <c r="C2878" s="20" t="s">
        <v>5767</v>
      </c>
      <c r="D2878" s="2">
        <v>45</v>
      </c>
      <c r="E2878" s="21"/>
      <c r="F2878" s="2">
        <f t="shared" si="68"/>
        <v>0</v>
      </c>
      <c r="G2878" s="3" t="str">
        <f>HYPERLINK("http://tmmp-catalog.com.ua/katalog/34/17715/","фото")</f>
        <v>фото</v>
      </c>
      <c r="H2878" s="22"/>
    </row>
    <row r="2879" spans="1:8" ht="15" x14ac:dyDescent="0.2">
      <c r="A2879" s="18">
        <v>2000000020877</v>
      </c>
      <c r="B2879" s="19" t="s">
        <v>5768</v>
      </c>
      <c r="C2879" s="20" t="s">
        <v>5769</v>
      </c>
      <c r="D2879" s="2">
        <v>30</v>
      </c>
      <c r="E2879" s="21"/>
      <c r="F2879" s="2">
        <f t="shared" si="68"/>
        <v>0</v>
      </c>
      <c r="G2879" s="3" t="str">
        <f>HYPERLINK("http://tmmp-catalog.com.ua/katalog/26/14467/","фото")</f>
        <v>фото</v>
      </c>
      <c r="H2879" s="22"/>
    </row>
    <row r="2880" spans="1:8" ht="15" x14ac:dyDescent="0.2">
      <c r="A2880" s="18"/>
      <c r="B2880" s="19" t="s">
        <v>5770</v>
      </c>
      <c r="C2880" s="20" t="s">
        <v>5771</v>
      </c>
      <c r="D2880" s="2">
        <v>35</v>
      </c>
      <c r="E2880" s="21"/>
      <c r="F2880" s="2">
        <f t="shared" si="68"/>
        <v>0</v>
      </c>
      <c r="G2880" s="3" t="str">
        <f>HYPERLINK("http://tmmp-catalog.com.ua/katalog/34/18172/","фото")</f>
        <v>фото</v>
      </c>
      <c r="H2880" s="22"/>
    </row>
    <row r="2881" spans="1:8" ht="15" x14ac:dyDescent="0.2">
      <c r="A2881" s="18">
        <v>2000000026503</v>
      </c>
      <c r="B2881" s="19" t="s">
        <v>5772</v>
      </c>
      <c r="C2881" s="20" t="s">
        <v>5773</v>
      </c>
      <c r="D2881" s="2">
        <v>1.35</v>
      </c>
      <c r="E2881" s="21"/>
      <c r="F2881" s="2">
        <f t="shared" si="68"/>
        <v>0</v>
      </c>
      <c r="G2881" s="3" t="str">
        <f>HYPERLINK("http://tmmp-catalog.com.ua/katalog/34/16225/","фото")</f>
        <v>фото</v>
      </c>
      <c r="H2881" s="22"/>
    </row>
    <row r="2882" spans="1:8" ht="15" x14ac:dyDescent="0.2">
      <c r="A2882" s="18">
        <v>2000000026480</v>
      </c>
      <c r="B2882" s="19" t="s">
        <v>5774</v>
      </c>
      <c r="C2882" s="20" t="s">
        <v>5775</v>
      </c>
      <c r="D2882" s="2">
        <v>1</v>
      </c>
      <c r="E2882" s="21"/>
      <c r="F2882" s="2">
        <f t="shared" si="68"/>
        <v>0</v>
      </c>
      <c r="G2882" s="3" t="str">
        <f>HYPERLINK("http://tmmp-catalog.com.ua/katalog/34/16223/","фото")</f>
        <v>фото</v>
      </c>
      <c r="H2882" s="22"/>
    </row>
    <row r="2883" spans="1:8" ht="15" x14ac:dyDescent="0.2">
      <c r="A2883" s="18"/>
      <c r="B2883" s="19" t="s">
        <v>5776</v>
      </c>
      <c r="C2883" s="20" t="s">
        <v>5777</v>
      </c>
      <c r="D2883" s="2">
        <v>45</v>
      </c>
      <c r="E2883" s="21"/>
      <c r="F2883" s="2">
        <f t="shared" si="68"/>
        <v>0</v>
      </c>
      <c r="G2883" s="3" t="str">
        <f>HYPERLINK("http://tmmp-catalog.com.ua/katalog/37/18634/","фото")</f>
        <v>фото</v>
      </c>
      <c r="H2883" s="22"/>
    </row>
    <row r="2884" spans="1:8" ht="15" x14ac:dyDescent="0.2">
      <c r="A2884" s="18"/>
      <c r="B2884" s="19" t="s">
        <v>5778</v>
      </c>
      <c r="C2884" s="20" t="s">
        <v>5779</v>
      </c>
      <c r="D2884" s="2">
        <v>45</v>
      </c>
      <c r="E2884" s="21"/>
      <c r="F2884" s="2">
        <f t="shared" si="68"/>
        <v>0</v>
      </c>
      <c r="G2884" s="3" t="str">
        <f>HYPERLINK("http://tmmp-catalog.com.ua/katalog/34/18837/","фото")</f>
        <v>фото</v>
      </c>
      <c r="H2884" s="22"/>
    </row>
    <row r="2885" spans="1:8" ht="15" x14ac:dyDescent="0.2">
      <c r="A2885" s="18"/>
      <c r="B2885" s="19" t="s">
        <v>5780</v>
      </c>
      <c r="C2885" s="20" t="s">
        <v>5781</v>
      </c>
      <c r="D2885" s="2">
        <v>45</v>
      </c>
      <c r="E2885" s="21"/>
      <c r="F2885" s="2">
        <f t="shared" si="68"/>
        <v>0</v>
      </c>
      <c r="G2885" s="3" t="str">
        <f>HYPERLINK("http://tmmp-catalog.com.ua/katalog/37/18633/","фото")</f>
        <v>фото</v>
      </c>
      <c r="H2885" s="22"/>
    </row>
    <row r="2886" spans="1:8" ht="15" x14ac:dyDescent="0.2">
      <c r="A2886" s="18"/>
      <c r="B2886" s="19" t="s">
        <v>5782</v>
      </c>
      <c r="C2886" s="20" t="s">
        <v>5783</v>
      </c>
      <c r="D2886" s="2">
        <v>45</v>
      </c>
      <c r="E2886" s="21"/>
      <c r="F2886" s="2">
        <f t="shared" si="68"/>
        <v>0</v>
      </c>
      <c r="G2886" s="3" t="str">
        <f>HYPERLINK("http://tmmp-catalog.com.ua/katalog/34/18836/","фото")</f>
        <v>фото</v>
      </c>
      <c r="H2886" s="22"/>
    </row>
    <row r="2887" spans="1:8" ht="15" x14ac:dyDescent="0.2">
      <c r="A2887" s="18"/>
      <c r="B2887" s="19" t="s">
        <v>5784</v>
      </c>
      <c r="C2887" s="20" t="s">
        <v>5785</v>
      </c>
      <c r="D2887" s="2">
        <v>45</v>
      </c>
      <c r="E2887" s="21"/>
      <c r="F2887" s="2">
        <f t="shared" si="68"/>
        <v>0</v>
      </c>
      <c r="G2887" s="3" t="str">
        <f>HYPERLINK("http://tmmp-catalog.com.ua/katalog/34/17764/","фото")</f>
        <v>фото</v>
      </c>
      <c r="H2887" s="22"/>
    </row>
    <row r="2888" spans="1:8" ht="15" x14ac:dyDescent="0.2">
      <c r="A2888" s="18">
        <v>2000000026541</v>
      </c>
      <c r="B2888" s="19" t="s">
        <v>5786</v>
      </c>
      <c r="C2888" s="20" t="s">
        <v>5787</v>
      </c>
      <c r="D2888" s="2">
        <v>10</v>
      </c>
      <c r="E2888" s="21"/>
      <c r="F2888" s="2">
        <f t="shared" si="68"/>
        <v>0</v>
      </c>
      <c r="G2888" s="3" t="str">
        <f>HYPERLINK("http://tmmp-catalog.com.ua/katalog/34/16229/","фото")</f>
        <v>фото</v>
      </c>
      <c r="H2888" s="22"/>
    </row>
    <row r="2889" spans="1:8" ht="15" x14ac:dyDescent="0.2">
      <c r="A2889" s="18">
        <v>2000000026558</v>
      </c>
      <c r="B2889" s="19" t="s">
        <v>5788</v>
      </c>
      <c r="C2889" s="20" t="s">
        <v>5789</v>
      </c>
      <c r="D2889" s="2">
        <v>10</v>
      </c>
      <c r="E2889" s="21"/>
      <c r="F2889" s="2">
        <f t="shared" si="68"/>
        <v>0</v>
      </c>
      <c r="G2889" s="3" t="str">
        <f>HYPERLINK("http://tmmp-catalog.com.ua/katalog/34/16230/","фото")</f>
        <v>фото</v>
      </c>
      <c r="H2889" s="22"/>
    </row>
    <row r="2890" spans="1:8" ht="15" x14ac:dyDescent="0.2">
      <c r="A2890" s="18"/>
      <c r="B2890" s="19" t="s">
        <v>5790</v>
      </c>
      <c r="C2890" s="20" t="s">
        <v>5791</v>
      </c>
      <c r="D2890" s="2">
        <v>9</v>
      </c>
      <c r="E2890" s="21"/>
      <c r="F2890" s="2">
        <f t="shared" si="68"/>
        <v>0</v>
      </c>
      <c r="G2890" s="3" t="str">
        <f>HYPERLINK("http://tmmp-catalog.com.ua/katalog/34/17767/","фото")</f>
        <v>фото</v>
      </c>
      <c r="H2890" s="22"/>
    </row>
    <row r="2891" spans="1:8" ht="15" x14ac:dyDescent="0.2">
      <c r="A2891" s="18"/>
      <c r="B2891" s="19" t="s">
        <v>5792</v>
      </c>
      <c r="C2891" s="20" t="s">
        <v>5793</v>
      </c>
      <c r="D2891" s="2">
        <v>9</v>
      </c>
      <c r="E2891" s="21"/>
      <c r="F2891" s="2">
        <f t="shared" si="68"/>
        <v>0</v>
      </c>
      <c r="G2891" s="3" t="str">
        <f>HYPERLINK("http://tmmp-catalog.com.ua/katalog/37/18631/","фото")</f>
        <v>фото</v>
      </c>
      <c r="H2891" s="22"/>
    </row>
    <row r="2892" spans="1:8" ht="15" x14ac:dyDescent="0.2">
      <c r="A2892" s="18"/>
      <c r="B2892" s="19" t="s">
        <v>5794</v>
      </c>
      <c r="C2892" s="20" t="s">
        <v>5795</v>
      </c>
      <c r="D2892" s="2">
        <v>9</v>
      </c>
      <c r="E2892" s="21"/>
      <c r="F2892" s="2">
        <f t="shared" si="68"/>
        <v>0</v>
      </c>
      <c r="G2892" s="3" t="str">
        <f>HYPERLINK("http://tmmp-catalog.com.ua/katalog/37/18630/","фото")</f>
        <v>фото</v>
      </c>
      <c r="H2892" s="22"/>
    </row>
    <row r="2893" spans="1:8" ht="15" x14ac:dyDescent="0.2">
      <c r="A2893" s="18"/>
      <c r="B2893" s="19" t="s">
        <v>5796</v>
      </c>
      <c r="C2893" s="20" t="s">
        <v>5797</v>
      </c>
      <c r="D2893" s="2">
        <v>9</v>
      </c>
      <c r="E2893" s="21"/>
      <c r="F2893" s="2">
        <f t="shared" si="68"/>
        <v>0</v>
      </c>
      <c r="G2893" s="3" t="str">
        <f>HYPERLINK("http://tmmp-catalog.com.ua/katalog/37/18629/","фото")</f>
        <v>фото</v>
      </c>
      <c r="H2893" s="22"/>
    </row>
    <row r="2894" spans="1:8" ht="15" x14ac:dyDescent="0.2">
      <c r="A2894" s="18">
        <v>2000000026510</v>
      </c>
      <c r="B2894" s="19" t="s">
        <v>5798</v>
      </c>
      <c r="C2894" s="20" t="s">
        <v>5799</v>
      </c>
      <c r="D2894" s="2">
        <v>9</v>
      </c>
      <c r="E2894" s="21"/>
      <c r="F2894" s="2">
        <f t="shared" si="68"/>
        <v>0</v>
      </c>
      <c r="G2894" s="3" t="str">
        <f>HYPERLINK("http://tmmp-catalog.com.ua/katalog/34/16226/","фото")</f>
        <v>фото</v>
      </c>
      <c r="H2894" s="22"/>
    </row>
    <row r="2895" spans="1:8" ht="15" x14ac:dyDescent="0.2">
      <c r="A2895" s="18">
        <v>2000000026527</v>
      </c>
      <c r="B2895" s="19" t="s">
        <v>5800</v>
      </c>
      <c r="C2895" s="20" t="s">
        <v>5801</v>
      </c>
      <c r="D2895" s="2">
        <v>9</v>
      </c>
      <c r="E2895" s="21"/>
      <c r="F2895" s="2">
        <f t="shared" si="68"/>
        <v>0</v>
      </c>
      <c r="G2895" s="3" t="str">
        <f>HYPERLINK("http://tmmp-catalog.com.ua/katalog/34/16227/","фото")</f>
        <v>фото</v>
      </c>
      <c r="H2895" s="22"/>
    </row>
    <row r="2896" spans="1:8" ht="15" x14ac:dyDescent="0.2">
      <c r="A2896" s="18">
        <v>2000000026534</v>
      </c>
      <c r="B2896" s="19" t="s">
        <v>5802</v>
      </c>
      <c r="C2896" s="20" t="s">
        <v>5803</v>
      </c>
      <c r="D2896" s="2">
        <v>13</v>
      </c>
      <c r="E2896" s="21"/>
      <c r="F2896" s="2">
        <f t="shared" si="68"/>
        <v>0</v>
      </c>
      <c r="G2896" s="3" t="str">
        <f>HYPERLINK("http://tmmp-catalog.com.ua/katalog/34/16228/","фото")</f>
        <v>фото</v>
      </c>
      <c r="H2896" s="22"/>
    </row>
    <row r="2897" spans="1:8" ht="23.25" x14ac:dyDescent="0.2">
      <c r="A2897" s="18"/>
      <c r="B2897" s="51"/>
      <c r="C2897" s="56" t="s">
        <v>16</v>
      </c>
      <c r="D2897" s="52"/>
      <c r="E2897" s="53"/>
      <c r="F2897" s="52"/>
      <c r="G2897" s="54"/>
      <c r="H2897" s="55"/>
    </row>
    <row r="2898" spans="1:8" ht="15" x14ac:dyDescent="0.2">
      <c r="A2898" s="18"/>
      <c r="B2898" s="19" t="s">
        <v>5804</v>
      </c>
      <c r="C2898" s="20" t="s">
        <v>5805</v>
      </c>
      <c r="D2898" s="2">
        <v>0.65</v>
      </c>
      <c r="E2898" s="21"/>
      <c r="F2898" s="2">
        <f t="shared" ref="F2898:F2905" si="69">cena*zakaz</f>
        <v>0</v>
      </c>
      <c r="G2898" s="3" t="str">
        <f>HYPERLINK("http://tmmp-catalog.com.ua/katalog/37/18494/","фото")</f>
        <v>фото</v>
      </c>
      <c r="H2898" s="22"/>
    </row>
    <row r="2899" spans="1:8" ht="15" x14ac:dyDescent="0.2">
      <c r="A2899" s="18">
        <v>2000000025551</v>
      </c>
      <c r="B2899" s="19" t="s">
        <v>5806</v>
      </c>
      <c r="C2899" s="20" t="s">
        <v>5807</v>
      </c>
      <c r="D2899" s="2">
        <v>0.6</v>
      </c>
      <c r="E2899" s="21"/>
      <c r="F2899" s="2">
        <f t="shared" si="69"/>
        <v>0</v>
      </c>
      <c r="G2899" s="3" t="str">
        <f>HYPERLINK("http://tmmp-catalog.com.ua/katalog/31/16130/","фото")</f>
        <v>фото</v>
      </c>
      <c r="H2899" s="22"/>
    </row>
    <row r="2900" spans="1:8" ht="15" x14ac:dyDescent="0.2">
      <c r="A2900" s="18">
        <v>2000000025537</v>
      </c>
      <c r="B2900" s="19" t="s">
        <v>5808</v>
      </c>
      <c r="C2900" s="20" t="s">
        <v>5809</v>
      </c>
      <c r="D2900" s="2">
        <v>0.6</v>
      </c>
      <c r="E2900" s="21"/>
      <c r="F2900" s="2">
        <f t="shared" si="69"/>
        <v>0</v>
      </c>
      <c r="G2900" s="3" t="str">
        <f>HYPERLINK("http://tmmp-catalog.com.ua/katalog/31/16128/","фото")</f>
        <v>фото</v>
      </c>
      <c r="H2900" s="22"/>
    </row>
    <row r="2901" spans="1:8" ht="15" x14ac:dyDescent="0.2">
      <c r="A2901" s="18">
        <v>2000000025520</v>
      </c>
      <c r="B2901" s="19" t="s">
        <v>5810</v>
      </c>
      <c r="C2901" s="20" t="s">
        <v>5811</v>
      </c>
      <c r="D2901" s="2">
        <v>0.6</v>
      </c>
      <c r="E2901" s="21"/>
      <c r="F2901" s="2">
        <f t="shared" si="69"/>
        <v>0</v>
      </c>
      <c r="G2901" s="3" t="str">
        <f>HYPERLINK("http://tmmp-catalog.com.ua/katalog/31/16127/","фото")</f>
        <v>фото</v>
      </c>
      <c r="H2901" s="22"/>
    </row>
    <row r="2902" spans="1:8" ht="15" x14ac:dyDescent="0.2">
      <c r="A2902" s="18">
        <v>2000000025483</v>
      </c>
      <c r="B2902" s="19" t="s">
        <v>5812</v>
      </c>
      <c r="C2902" s="20" t="s">
        <v>5813</v>
      </c>
      <c r="D2902" s="2">
        <v>0.6</v>
      </c>
      <c r="E2902" s="21"/>
      <c r="F2902" s="2">
        <f t="shared" si="69"/>
        <v>0</v>
      </c>
      <c r="G2902" s="3" t="str">
        <f>HYPERLINK("http://tmmp-catalog.com.ua/katalog/31/14854/","фото")</f>
        <v>фото</v>
      </c>
      <c r="H2902" s="22"/>
    </row>
    <row r="2903" spans="1:8" ht="15" x14ac:dyDescent="0.2">
      <c r="A2903" s="18">
        <v>2000000025681</v>
      </c>
      <c r="B2903" s="19" t="s">
        <v>5814</v>
      </c>
      <c r="C2903" s="20" t="s">
        <v>5815</v>
      </c>
      <c r="D2903" s="2">
        <v>0.25</v>
      </c>
      <c r="E2903" s="21"/>
      <c r="F2903" s="2">
        <f t="shared" si="69"/>
        <v>0</v>
      </c>
      <c r="G2903" s="3" t="str">
        <f>HYPERLINK("http://tmmp-catalog.com.ua/katalog/31/16145/","фото")</f>
        <v>фото</v>
      </c>
      <c r="H2903" s="22"/>
    </row>
    <row r="2904" spans="1:8" ht="15" x14ac:dyDescent="0.2">
      <c r="A2904" s="18">
        <v>2000000025926</v>
      </c>
      <c r="B2904" s="19" t="s">
        <v>5816</v>
      </c>
      <c r="C2904" s="20" t="s">
        <v>5817</v>
      </c>
      <c r="D2904" s="2">
        <v>0.3</v>
      </c>
      <c r="E2904" s="21"/>
      <c r="F2904" s="2">
        <f t="shared" si="69"/>
        <v>0</v>
      </c>
      <c r="G2904" s="3" t="str">
        <f>HYPERLINK("http://tmmp-catalog.com.ua/katalog/13/16999/","фото")</f>
        <v>фото</v>
      </c>
      <c r="H2904" s="22"/>
    </row>
    <row r="2905" spans="1:8" ht="15" x14ac:dyDescent="0.2">
      <c r="A2905" s="18">
        <v>2000000025803</v>
      </c>
      <c r="B2905" s="19" t="s">
        <v>5818</v>
      </c>
      <c r="C2905" s="20" t="s">
        <v>5819</v>
      </c>
      <c r="D2905" s="2">
        <v>0.1</v>
      </c>
      <c r="E2905" s="21"/>
      <c r="F2905" s="2">
        <f t="shared" si="69"/>
        <v>0</v>
      </c>
      <c r="G2905" s="3" t="str">
        <f>HYPERLINK("http://tmmp-catalog.com.ua/katalog/31/16157/","фото")</f>
        <v>фото</v>
      </c>
      <c r="H2905" s="22"/>
    </row>
    <row r="2906" spans="1:8" ht="23.25" x14ac:dyDescent="0.2">
      <c r="A2906" s="18"/>
      <c r="B2906" s="51"/>
      <c r="C2906" s="56" t="s">
        <v>17</v>
      </c>
      <c r="D2906" s="52"/>
      <c r="E2906" s="53"/>
      <c r="F2906" s="52"/>
      <c r="G2906" s="54"/>
      <c r="H2906" s="55"/>
    </row>
    <row r="2907" spans="1:8" ht="15" x14ac:dyDescent="0.2">
      <c r="A2907" s="18">
        <v>2000000026770</v>
      </c>
      <c r="B2907" s="19" t="s">
        <v>5820</v>
      </c>
      <c r="C2907" s="20" t="s">
        <v>5821</v>
      </c>
      <c r="D2907" s="2">
        <v>0.7</v>
      </c>
      <c r="E2907" s="21"/>
      <c r="F2907" s="2">
        <f t="shared" ref="F2907:F2943" si="70">cena*zakaz</f>
        <v>0</v>
      </c>
      <c r="G2907" s="3" t="str">
        <f>HYPERLINK("http://tmmp-catalog.com.ua/katalog/36/16251/","фото")</f>
        <v>фото</v>
      </c>
      <c r="H2907" s="22"/>
    </row>
    <row r="2908" spans="1:8" ht="15" x14ac:dyDescent="0.2">
      <c r="A2908" s="18">
        <v>2000000026787</v>
      </c>
      <c r="B2908" s="19" t="s">
        <v>5822</v>
      </c>
      <c r="C2908" s="20" t="s">
        <v>5823</v>
      </c>
      <c r="D2908" s="2">
        <v>0.7</v>
      </c>
      <c r="E2908" s="21"/>
      <c r="F2908" s="2">
        <f t="shared" si="70"/>
        <v>0</v>
      </c>
      <c r="G2908" s="3" t="str">
        <f>HYPERLINK("http://tmmp-catalog.com.ua/katalog/36/16252/","фото")</f>
        <v>фото</v>
      </c>
      <c r="H2908" s="22"/>
    </row>
    <row r="2909" spans="1:8" ht="15" x14ac:dyDescent="0.2">
      <c r="A2909" s="18">
        <v>2000000026794</v>
      </c>
      <c r="B2909" s="19" t="s">
        <v>5824</v>
      </c>
      <c r="C2909" s="20" t="s">
        <v>5825</v>
      </c>
      <c r="D2909" s="2">
        <v>0.7</v>
      </c>
      <c r="E2909" s="21"/>
      <c r="F2909" s="2">
        <f t="shared" si="70"/>
        <v>0</v>
      </c>
      <c r="G2909" s="3" t="str">
        <f>HYPERLINK("http://tmmp-catalog.com.ua/katalog/36/16253/","фото")</f>
        <v>фото</v>
      </c>
      <c r="H2909" s="22"/>
    </row>
    <row r="2910" spans="1:8" ht="15" x14ac:dyDescent="0.2">
      <c r="A2910" s="18">
        <v>2000000026800</v>
      </c>
      <c r="B2910" s="19" t="s">
        <v>5826</v>
      </c>
      <c r="C2910" s="20" t="s">
        <v>5827</v>
      </c>
      <c r="D2910" s="2">
        <v>0.7</v>
      </c>
      <c r="E2910" s="21"/>
      <c r="F2910" s="2">
        <f t="shared" si="70"/>
        <v>0</v>
      </c>
      <c r="G2910" s="3" t="str">
        <f>HYPERLINK("http://tmmp-catalog.com.ua/katalog/36/16254/","фото")</f>
        <v>фото</v>
      </c>
      <c r="H2910" s="22"/>
    </row>
    <row r="2911" spans="1:8" ht="15" x14ac:dyDescent="0.2">
      <c r="A2911" s="18">
        <v>2000000026824</v>
      </c>
      <c r="B2911" s="19" t="s">
        <v>5828</v>
      </c>
      <c r="C2911" s="20" t="s">
        <v>5829</v>
      </c>
      <c r="D2911" s="2">
        <v>0.75</v>
      </c>
      <c r="E2911" s="21"/>
      <c r="F2911" s="2">
        <f t="shared" si="70"/>
        <v>0</v>
      </c>
      <c r="G2911" s="3" t="str">
        <f>HYPERLINK("http://tmmp-catalog.com.ua/katalog/36/16256/","фото")</f>
        <v>фото</v>
      </c>
      <c r="H2911" s="22"/>
    </row>
    <row r="2912" spans="1:8" ht="15" x14ac:dyDescent="0.2">
      <c r="A2912" s="18">
        <v>2000000026831</v>
      </c>
      <c r="B2912" s="19" t="s">
        <v>5830</v>
      </c>
      <c r="C2912" s="20" t="s">
        <v>5831</v>
      </c>
      <c r="D2912" s="2">
        <v>0.7</v>
      </c>
      <c r="E2912" s="21"/>
      <c r="F2912" s="2">
        <f t="shared" si="70"/>
        <v>0</v>
      </c>
      <c r="G2912" s="3" t="str">
        <f>HYPERLINK("http://tmmp-catalog.com.ua/katalog/36/16257/","фото")</f>
        <v>фото</v>
      </c>
      <c r="H2912" s="22"/>
    </row>
    <row r="2913" spans="1:8" ht="15" x14ac:dyDescent="0.2">
      <c r="A2913" s="18">
        <v>2000000026848</v>
      </c>
      <c r="B2913" s="19" t="s">
        <v>5832</v>
      </c>
      <c r="C2913" s="20" t="s">
        <v>5833</v>
      </c>
      <c r="D2913" s="2">
        <v>0.5</v>
      </c>
      <c r="E2913" s="21"/>
      <c r="F2913" s="2">
        <f t="shared" si="70"/>
        <v>0</v>
      </c>
      <c r="G2913" s="3" t="str">
        <f>HYPERLINK("http://tmmp-catalog.com.ua/katalog/36/16258/","фото")</f>
        <v>фото</v>
      </c>
      <c r="H2913" s="22"/>
    </row>
    <row r="2914" spans="1:8" ht="15" x14ac:dyDescent="0.2">
      <c r="A2914" s="18">
        <v>2000000026855</v>
      </c>
      <c r="B2914" s="19" t="s">
        <v>5834</v>
      </c>
      <c r="C2914" s="20" t="s">
        <v>5835</v>
      </c>
      <c r="D2914" s="2">
        <v>0.5</v>
      </c>
      <c r="E2914" s="21"/>
      <c r="F2914" s="2">
        <f t="shared" si="70"/>
        <v>0</v>
      </c>
      <c r="G2914" s="3" t="str">
        <f>HYPERLINK("http://tmmp-catalog.com.ua/katalog/36/16259/","фото")</f>
        <v>фото</v>
      </c>
      <c r="H2914" s="22"/>
    </row>
    <row r="2915" spans="1:8" ht="15" x14ac:dyDescent="0.2">
      <c r="A2915" s="18">
        <v>2000000026862</v>
      </c>
      <c r="B2915" s="19" t="s">
        <v>5836</v>
      </c>
      <c r="C2915" s="20" t="s">
        <v>5837</v>
      </c>
      <c r="D2915" s="2">
        <v>0.7</v>
      </c>
      <c r="E2915" s="21"/>
      <c r="F2915" s="2">
        <f t="shared" si="70"/>
        <v>0</v>
      </c>
      <c r="G2915" s="3" t="str">
        <f>HYPERLINK("http://tmmp-catalog.com.ua/katalog/36/16260/","фото")</f>
        <v>фото</v>
      </c>
      <c r="H2915" s="22"/>
    </row>
    <row r="2916" spans="1:8" ht="15" x14ac:dyDescent="0.2">
      <c r="A2916" s="18">
        <v>2000000026879</v>
      </c>
      <c r="B2916" s="19" t="s">
        <v>5838</v>
      </c>
      <c r="C2916" s="20" t="s">
        <v>5839</v>
      </c>
      <c r="D2916" s="2">
        <v>0.7</v>
      </c>
      <c r="E2916" s="21"/>
      <c r="F2916" s="2">
        <f t="shared" si="70"/>
        <v>0</v>
      </c>
      <c r="G2916" s="3" t="str">
        <f>HYPERLINK("http://tmmp-catalog.com.ua/katalog/36/16261/","фото")</f>
        <v>фото</v>
      </c>
      <c r="H2916" s="22"/>
    </row>
    <row r="2917" spans="1:8" ht="15" x14ac:dyDescent="0.2">
      <c r="A2917" s="18">
        <v>2000000026886</v>
      </c>
      <c r="B2917" s="19" t="s">
        <v>5840</v>
      </c>
      <c r="C2917" s="20" t="s">
        <v>5841</v>
      </c>
      <c r="D2917" s="2">
        <v>0.7</v>
      </c>
      <c r="E2917" s="21"/>
      <c r="F2917" s="2">
        <f t="shared" si="70"/>
        <v>0</v>
      </c>
      <c r="G2917" s="3" t="str">
        <f>HYPERLINK("http://tmmp-catalog.com.ua/katalog/36/16262/","фото")</f>
        <v>фото</v>
      </c>
      <c r="H2917" s="22"/>
    </row>
    <row r="2918" spans="1:8" ht="15" x14ac:dyDescent="0.2">
      <c r="A2918" s="18">
        <v>2000000026930</v>
      </c>
      <c r="B2918" s="19" t="s">
        <v>5842</v>
      </c>
      <c r="C2918" s="20" t="s">
        <v>5843</v>
      </c>
      <c r="D2918" s="2">
        <v>0.7</v>
      </c>
      <c r="E2918" s="21"/>
      <c r="F2918" s="2">
        <f t="shared" si="70"/>
        <v>0</v>
      </c>
      <c r="G2918" s="3" t="str">
        <f>HYPERLINK("http://tmmp-catalog.com.ua/katalog/36/16267/","фото")</f>
        <v>фото</v>
      </c>
      <c r="H2918" s="22"/>
    </row>
    <row r="2919" spans="1:8" ht="15" x14ac:dyDescent="0.2">
      <c r="A2919" s="18">
        <v>2000000026947</v>
      </c>
      <c r="B2919" s="19" t="s">
        <v>5844</v>
      </c>
      <c r="C2919" s="20" t="s">
        <v>5845</v>
      </c>
      <c r="D2919" s="2">
        <v>0.7</v>
      </c>
      <c r="E2919" s="21"/>
      <c r="F2919" s="2">
        <f t="shared" si="70"/>
        <v>0</v>
      </c>
      <c r="G2919" s="3" t="str">
        <f>HYPERLINK("http://tmmp-catalog.com.ua/katalog/36/16268/","фото")</f>
        <v>фото</v>
      </c>
      <c r="H2919" s="22"/>
    </row>
    <row r="2920" spans="1:8" ht="15" x14ac:dyDescent="0.2">
      <c r="A2920" s="18">
        <v>2000000026954</v>
      </c>
      <c r="B2920" s="19" t="s">
        <v>5846</v>
      </c>
      <c r="C2920" s="20" t="s">
        <v>5847</v>
      </c>
      <c r="D2920" s="2">
        <v>0.7</v>
      </c>
      <c r="E2920" s="21"/>
      <c r="F2920" s="2">
        <f t="shared" si="70"/>
        <v>0</v>
      </c>
      <c r="G2920" s="3" t="str">
        <f>HYPERLINK("http://tmmp-catalog.com.ua/katalog/36/16269/","фото")</f>
        <v>фото</v>
      </c>
      <c r="H2920" s="22"/>
    </row>
    <row r="2921" spans="1:8" ht="15" x14ac:dyDescent="0.2">
      <c r="A2921" s="18">
        <v>2000000026961</v>
      </c>
      <c r="B2921" s="19" t="s">
        <v>5848</v>
      </c>
      <c r="C2921" s="20" t="s">
        <v>5849</v>
      </c>
      <c r="D2921" s="2">
        <v>0.7</v>
      </c>
      <c r="E2921" s="21"/>
      <c r="F2921" s="2">
        <f t="shared" si="70"/>
        <v>0</v>
      </c>
      <c r="G2921" s="3" t="str">
        <f>HYPERLINK("http://tmmp-catalog.com.ua/katalog/36/16270/","фото")</f>
        <v>фото</v>
      </c>
      <c r="H2921" s="22"/>
    </row>
    <row r="2922" spans="1:8" ht="15" x14ac:dyDescent="0.2">
      <c r="A2922" s="18">
        <v>2000000027036</v>
      </c>
      <c r="B2922" s="19" t="s">
        <v>5850</v>
      </c>
      <c r="C2922" s="20" t="s">
        <v>5851</v>
      </c>
      <c r="D2922" s="2">
        <v>0.7</v>
      </c>
      <c r="E2922" s="21"/>
      <c r="F2922" s="2">
        <f t="shared" si="70"/>
        <v>0</v>
      </c>
      <c r="G2922" s="3" t="str">
        <f>HYPERLINK("http://tmmp-catalog.com.ua/katalog/36/16277/","фото")</f>
        <v>фото</v>
      </c>
      <c r="H2922" s="22"/>
    </row>
    <row r="2923" spans="1:8" ht="15" x14ac:dyDescent="0.2">
      <c r="A2923" s="18">
        <v>2000000027043</v>
      </c>
      <c r="B2923" s="19" t="s">
        <v>5852</v>
      </c>
      <c r="C2923" s="20" t="s">
        <v>5853</v>
      </c>
      <c r="D2923" s="2">
        <v>0.7</v>
      </c>
      <c r="E2923" s="21"/>
      <c r="F2923" s="2">
        <f t="shared" si="70"/>
        <v>0</v>
      </c>
      <c r="G2923" s="3" t="str">
        <f>HYPERLINK("http://tmmp-catalog.com.ua/katalog/36/16278/","фото")</f>
        <v>фото</v>
      </c>
      <c r="H2923" s="22"/>
    </row>
    <row r="2924" spans="1:8" ht="15" x14ac:dyDescent="0.2">
      <c r="A2924" s="18">
        <v>2000000027050</v>
      </c>
      <c r="B2924" s="19" t="s">
        <v>5854</v>
      </c>
      <c r="C2924" s="20" t="s">
        <v>5855</v>
      </c>
      <c r="D2924" s="2">
        <v>0.7</v>
      </c>
      <c r="E2924" s="21"/>
      <c r="F2924" s="2">
        <f t="shared" si="70"/>
        <v>0</v>
      </c>
      <c r="G2924" s="3" t="str">
        <f>HYPERLINK("http://tmmp-catalog.com.ua/katalog/36/16279/","фото")</f>
        <v>фото</v>
      </c>
      <c r="H2924" s="22"/>
    </row>
    <row r="2925" spans="1:8" ht="15" x14ac:dyDescent="0.2">
      <c r="A2925" s="18">
        <v>2000000027081</v>
      </c>
      <c r="B2925" s="19" t="s">
        <v>5856</v>
      </c>
      <c r="C2925" s="20" t="s">
        <v>5857</v>
      </c>
      <c r="D2925" s="2">
        <v>0.7</v>
      </c>
      <c r="E2925" s="21"/>
      <c r="F2925" s="2">
        <f t="shared" si="70"/>
        <v>0</v>
      </c>
      <c r="G2925" s="3" t="str">
        <f>HYPERLINK("http://tmmp-catalog.com.ua/katalog/36/16282/","фото")</f>
        <v>фото</v>
      </c>
      <c r="H2925" s="22"/>
    </row>
    <row r="2926" spans="1:8" ht="15" x14ac:dyDescent="0.2">
      <c r="A2926" s="18">
        <v>2000000027098</v>
      </c>
      <c r="B2926" s="19" t="s">
        <v>5858</v>
      </c>
      <c r="C2926" s="20" t="s">
        <v>5859</v>
      </c>
      <c r="D2926" s="2">
        <v>0.7</v>
      </c>
      <c r="E2926" s="21"/>
      <c r="F2926" s="2">
        <f t="shared" si="70"/>
        <v>0</v>
      </c>
      <c r="G2926" s="3" t="str">
        <f>HYPERLINK("http://tmmp-catalog.com.ua/katalog/36/16283/","фото")</f>
        <v>фото</v>
      </c>
      <c r="H2926" s="22"/>
    </row>
    <row r="2927" spans="1:8" ht="15" x14ac:dyDescent="0.2">
      <c r="A2927" s="18">
        <v>2000000027197</v>
      </c>
      <c r="B2927" s="19" t="s">
        <v>5860</v>
      </c>
      <c r="C2927" s="20" t="s">
        <v>5861</v>
      </c>
      <c r="D2927" s="2">
        <v>0.7</v>
      </c>
      <c r="E2927" s="21"/>
      <c r="F2927" s="2">
        <f t="shared" si="70"/>
        <v>0</v>
      </c>
      <c r="G2927" s="3" t="str">
        <f>HYPERLINK("http://tmmp-catalog.com.ua/katalog/36/16293/","фото")</f>
        <v>фото</v>
      </c>
      <c r="H2927" s="22"/>
    </row>
    <row r="2928" spans="1:8" ht="15" x14ac:dyDescent="0.2">
      <c r="A2928" s="18">
        <v>2000000027449</v>
      </c>
      <c r="B2928" s="19" t="s">
        <v>5862</v>
      </c>
      <c r="C2928" s="20" t="s">
        <v>5863</v>
      </c>
      <c r="D2928" s="2">
        <v>0.7</v>
      </c>
      <c r="E2928" s="21"/>
      <c r="F2928" s="2">
        <f t="shared" si="70"/>
        <v>0</v>
      </c>
      <c r="G2928" s="3" t="str">
        <f>HYPERLINK("http://tmmp-catalog.com.ua/katalog/36/16318/","фото")</f>
        <v>фото</v>
      </c>
      <c r="H2928" s="22"/>
    </row>
    <row r="2929" spans="1:8" ht="15" x14ac:dyDescent="0.2">
      <c r="A2929" s="18">
        <v>2000000027456</v>
      </c>
      <c r="B2929" s="19" t="s">
        <v>5864</v>
      </c>
      <c r="C2929" s="20" t="s">
        <v>5865</v>
      </c>
      <c r="D2929" s="2">
        <v>0.7</v>
      </c>
      <c r="E2929" s="21"/>
      <c r="F2929" s="2">
        <f t="shared" si="70"/>
        <v>0</v>
      </c>
      <c r="G2929" s="3" t="str">
        <f>HYPERLINK("http://tmmp-catalog.com.ua/katalog/36/16319/","фото")</f>
        <v>фото</v>
      </c>
      <c r="H2929" s="22"/>
    </row>
    <row r="2930" spans="1:8" ht="15" x14ac:dyDescent="0.2">
      <c r="A2930" s="18">
        <v>2000000027463</v>
      </c>
      <c r="B2930" s="19" t="s">
        <v>5866</v>
      </c>
      <c r="C2930" s="20" t="s">
        <v>5867</v>
      </c>
      <c r="D2930" s="2">
        <v>0.7</v>
      </c>
      <c r="E2930" s="21"/>
      <c r="F2930" s="2">
        <f t="shared" si="70"/>
        <v>0</v>
      </c>
      <c r="G2930" s="3" t="str">
        <f>HYPERLINK("http://tmmp-catalog.com.ua/katalog/36/16320/","фото")</f>
        <v>фото</v>
      </c>
      <c r="H2930" s="22"/>
    </row>
    <row r="2931" spans="1:8" ht="15" x14ac:dyDescent="0.2">
      <c r="A2931" s="18">
        <v>2000000027470</v>
      </c>
      <c r="B2931" s="19" t="s">
        <v>5868</v>
      </c>
      <c r="C2931" s="20" t="s">
        <v>5869</v>
      </c>
      <c r="D2931" s="2">
        <v>0.7</v>
      </c>
      <c r="E2931" s="21"/>
      <c r="F2931" s="2">
        <f t="shared" si="70"/>
        <v>0</v>
      </c>
      <c r="G2931" s="3" t="str">
        <f>HYPERLINK("http://tmmp-catalog.com.ua/katalog/36/16321/","фото")</f>
        <v>фото</v>
      </c>
      <c r="H2931" s="22"/>
    </row>
    <row r="2932" spans="1:8" ht="15" x14ac:dyDescent="0.2">
      <c r="A2932" s="18">
        <v>2000000027487</v>
      </c>
      <c r="B2932" s="19" t="s">
        <v>5870</v>
      </c>
      <c r="C2932" s="20" t="s">
        <v>5871</v>
      </c>
      <c r="D2932" s="2">
        <v>0.7</v>
      </c>
      <c r="E2932" s="21"/>
      <c r="F2932" s="2">
        <f t="shared" si="70"/>
        <v>0</v>
      </c>
      <c r="G2932" s="3" t="str">
        <f>HYPERLINK("http://tmmp-catalog.com.ua/katalog/36/16322/","фото")</f>
        <v>фото</v>
      </c>
      <c r="H2932" s="22"/>
    </row>
    <row r="2933" spans="1:8" ht="15" x14ac:dyDescent="0.2">
      <c r="A2933" s="18">
        <v>2000000027494</v>
      </c>
      <c r="B2933" s="19" t="s">
        <v>5872</v>
      </c>
      <c r="C2933" s="20" t="s">
        <v>5873</v>
      </c>
      <c r="D2933" s="2">
        <v>0.7</v>
      </c>
      <c r="E2933" s="21"/>
      <c r="F2933" s="2">
        <f t="shared" si="70"/>
        <v>0</v>
      </c>
      <c r="G2933" s="3" t="str">
        <f>HYPERLINK("http://tmmp-catalog.com.ua/katalog/36/16323/","фото")</f>
        <v>фото</v>
      </c>
      <c r="H2933" s="22"/>
    </row>
    <row r="2934" spans="1:8" ht="15" x14ac:dyDescent="0.2">
      <c r="A2934" s="18">
        <v>2000000027500</v>
      </c>
      <c r="B2934" s="19" t="s">
        <v>5874</v>
      </c>
      <c r="C2934" s="20" t="s">
        <v>5875</v>
      </c>
      <c r="D2934" s="2">
        <v>0.7</v>
      </c>
      <c r="E2934" s="21"/>
      <c r="F2934" s="2">
        <f t="shared" si="70"/>
        <v>0</v>
      </c>
      <c r="G2934" s="3" t="str">
        <f>HYPERLINK("http://tmmp-catalog.com.ua/katalog/36/16324/","фото")</f>
        <v>фото</v>
      </c>
      <c r="H2934" s="22"/>
    </row>
    <row r="2935" spans="1:8" ht="15" x14ac:dyDescent="0.2">
      <c r="A2935" s="18">
        <v>2000000027517</v>
      </c>
      <c r="B2935" s="19" t="s">
        <v>5876</v>
      </c>
      <c r="C2935" s="20" t="s">
        <v>5877</v>
      </c>
      <c r="D2935" s="2">
        <v>0.7</v>
      </c>
      <c r="E2935" s="21"/>
      <c r="F2935" s="2">
        <f t="shared" si="70"/>
        <v>0</v>
      </c>
      <c r="G2935" s="3" t="str">
        <f>HYPERLINK("http://tmmp-catalog.com.ua/katalog/36/16325/","фото")</f>
        <v>фото</v>
      </c>
      <c r="H2935" s="22"/>
    </row>
    <row r="2936" spans="1:8" ht="15" x14ac:dyDescent="0.2">
      <c r="A2936" s="18">
        <v>2000000027722</v>
      </c>
      <c r="B2936" s="19" t="s">
        <v>5878</v>
      </c>
      <c r="C2936" s="20" t="s">
        <v>5879</v>
      </c>
      <c r="D2936" s="2">
        <v>0.5</v>
      </c>
      <c r="E2936" s="21"/>
      <c r="F2936" s="2">
        <f t="shared" si="70"/>
        <v>0</v>
      </c>
      <c r="G2936" s="3" t="str">
        <f>HYPERLINK("http://tmmp-catalog.com.ua/katalog/36/16346/","фото")</f>
        <v>фото</v>
      </c>
      <c r="H2936" s="22"/>
    </row>
    <row r="2937" spans="1:8" ht="15" x14ac:dyDescent="0.2">
      <c r="A2937" s="18">
        <v>2000000027739</v>
      </c>
      <c r="B2937" s="19" t="s">
        <v>5880</v>
      </c>
      <c r="C2937" s="20" t="s">
        <v>5881</v>
      </c>
      <c r="D2937" s="2">
        <v>0.5</v>
      </c>
      <c r="E2937" s="21"/>
      <c r="F2937" s="2">
        <f t="shared" si="70"/>
        <v>0</v>
      </c>
      <c r="G2937" s="3" t="str">
        <f>HYPERLINK("http://tmmp-catalog.com.ua/katalog/36/16347/","фото")</f>
        <v>фото</v>
      </c>
      <c r="H2937" s="22"/>
    </row>
    <row r="2938" spans="1:8" ht="15" x14ac:dyDescent="0.2">
      <c r="A2938" s="18">
        <v>2000000027746</v>
      </c>
      <c r="B2938" s="19" t="s">
        <v>5882</v>
      </c>
      <c r="C2938" s="20" t="s">
        <v>5883</v>
      </c>
      <c r="D2938" s="2">
        <v>0.5</v>
      </c>
      <c r="E2938" s="21"/>
      <c r="F2938" s="2">
        <f t="shared" si="70"/>
        <v>0</v>
      </c>
      <c r="G2938" s="3" t="str">
        <f>HYPERLINK("http://tmmp-catalog.com.ua/katalog/36/16348/","фото")</f>
        <v>фото</v>
      </c>
      <c r="H2938" s="22"/>
    </row>
    <row r="2939" spans="1:8" ht="15" x14ac:dyDescent="0.2">
      <c r="A2939" s="18">
        <v>2000000027753</v>
      </c>
      <c r="B2939" s="19" t="s">
        <v>5884</v>
      </c>
      <c r="C2939" s="20" t="s">
        <v>5885</v>
      </c>
      <c r="D2939" s="2">
        <v>0.5</v>
      </c>
      <c r="E2939" s="21"/>
      <c r="F2939" s="2">
        <f t="shared" si="70"/>
        <v>0</v>
      </c>
      <c r="G2939" s="3" t="str">
        <f>HYPERLINK("http://tmmp-catalog.com.ua/katalog/36/16349/","фото")</f>
        <v>фото</v>
      </c>
      <c r="H2939" s="22"/>
    </row>
    <row r="2940" spans="1:8" ht="15" x14ac:dyDescent="0.2">
      <c r="A2940" s="18">
        <v>2000000027760</v>
      </c>
      <c r="B2940" s="19" t="s">
        <v>5886</v>
      </c>
      <c r="C2940" s="20" t="s">
        <v>5887</v>
      </c>
      <c r="D2940" s="2">
        <v>0.5</v>
      </c>
      <c r="E2940" s="21"/>
      <c r="F2940" s="2">
        <f t="shared" si="70"/>
        <v>0</v>
      </c>
      <c r="G2940" s="3" t="str">
        <f>HYPERLINK("http://tmmp-catalog.com.ua/katalog/36/16350/","фото")</f>
        <v>фото</v>
      </c>
      <c r="H2940" s="22"/>
    </row>
    <row r="2941" spans="1:8" ht="15" x14ac:dyDescent="0.2">
      <c r="A2941" s="18">
        <v>2000000027777</v>
      </c>
      <c r="B2941" s="19" t="s">
        <v>5888</v>
      </c>
      <c r="C2941" s="20" t="s">
        <v>5889</v>
      </c>
      <c r="D2941" s="2">
        <v>0.5</v>
      </c>
      <c r="E2941" s="21"/>
      <c r="F2941" s="2">
        <f t="shared" si="70"/>
        <v>0</v>
      </c>
      <c r="G2941" s="3" t="str">
        <f>HYPERLINK("http://tmmp-catalog.com.ua/katalog/36/16351/","фото")</f>
        <v>фото</v>
      </c>
      <c r="H2941" s="22"/>
    </row>
    <row r="2942" spans="1:8" ht="15" x14ac:dyDescent="0.2">
      <c r="A2942" s="18">
        <v>2000000027784</v>
      </c>
      <c r="B2942" s="19" t="s">
        <v>5890</v>
      </c>
      <c r="C2942" s="20" t="s">
        <v>5891</v>
      </c>
      <c r="D2942" s="2">
        <v>0.5</v>
      </c>
      <c r="E2942" s="21"/>
      <c r="F2942" s="2">
        <f t="shared" si="70"/>
        <v>0</v>
      </c>
      <c r="G2942" s="3" t="str">
        <f>HYPERLINK("http://tmmp-catalog.com.ua/katalog/36/16352/","фото")</f>
        <v>фото</v>
      </c>
      <c r="H2942" s="22"/>
    </row>
    <row r="2943" spans="1:8" ht="15" x14ac:dyDescent="0.2">
      <c r="A2943" s="18">
        <v>2000000027791</v>
      </c>
      <c r="B2943" s="19" t="s">
        <v>5892</v>
      </c>
      <c r="C2943" s="20" t="s">
        <v>5893</v>
      </c>
      <c r="D2943" s="2">
        <v>0.5</v>
      </c>
      <c r="E2943" s="21"/>
      <c r="F2943" s="2">
        <f t="shared" si="70"/>
        <v>0</v>
      </c>
      <c r="G2943" s="3" t="str">
        <f>HYPERLINK("http://tmmp-catalog.com.ua/katalog/36/16353/","фото")</f>
        <v>фото</v>
      </c>
      <c r="H2943" s="22"/>
    </row>
    <row r="2944" spans="1:8" ht="23.25" x14ac:dyDescent="0.2">
      <c r="A2944" s="18"/>
      <c r="B2944" s="51"/>
      <c r="C2944" s="56" t="s">
        <v>18</v>
      </c>
      <c r="D2944" s="52"/>
      <c r="E2944" s="53"/>
      <c r="F2944" s="52"/>
      <c r="G2944" s="54"/>
      <c r="H2944" s="55"/>
    </row>
    <row r="2945" spans="1:8" ht="15" x14ac:dyDescent="0.2">
      <c r="A2945" s="18">
        <v>2000000026589</v>
      </c>
      <c r="B2945" s="19" t="s">
        <v>5894</v>
      </c>
      <c r="C2945" s="20" t="s">
        <v>5895</v>
      </c>
      <c r="D2945" s="2">
        <v>1.85</v>
      </c>
      <c r="E2945" s="21"/>
      <c r="F2945" s="2">
        <f>cena*zakaz</f>
        <v>0</v>
      </c>
      <c r="G2945" s="3" t="str">
        <f>HYPERLINK("http://tmmp-catalog.com.ua/katalog/35/16232/","фото")</f>
        <v>фото</v>
      </c>
      <c r="H2945" s="22"/>
    </row>
    <row r="2946" spans="1:8" ht="15" x14ac:dyDescent="0.2">
      <c r="A2946" s="18">
        <v>2000000026572</v>
      </c>
      <c r="B2946" s="19" t="s">
        <v>5896</v>
      </c>
      <c r="C2946" s="20" t="s">
        <v>5897</v>
      </c>
      <c r="D2946" s="2">
        <v>1.6</v>
      </c>
      <c r="E2946" s="21"/>
      <c r="F2946" s="2">
        <f>cena*zakaz</f>
        <v>0</v>
      </c>
      <c r="G2946" s="3" t="str">
        <f>HYPERLINK("http://tmmp-catalog.com.ua/katalog/35/15784/","фото")</f>
        <v>фото</v>
      </c>
      <c r="H2946" s="22"/>
    </row>
    <row r="2947" spans="1:8" ht="23.25" x14ac:dyDescent="0.2">
      <c r="A2947" s="18"/>
      <c r="B2947" s="51"/>
      <c r="C2947" s="56" t="s">
        <v>29</v>
      </c>
      <c r="D2947" s="52"/>
      <c r="E2947" s="53"/>
      <c r="F2947" s="52"/>
      <c r="G2947" s="54"/>
      <c r="H2947" s="55"/>
    </row>
    <row r="2948" spans="1:8" ht="15" x14ac:dyDescent="0.2">
      <c r="A2948" s="18"/>
      <c r="B2948" s="19" t="s">
        <v>5898</v>
      </c>
      <c r="C2948" s="20" t="s">
        <v>5899</v>
      </c>
      <c r="D2948" s="2">
        <v>3.75</v>
      </c>
      <c r="E2948" s="21"/>
      <c r="F2948" s="2">
        <f>cena*zakaz</f>
        <v>0</v>
      </c>
      <c r="G2948" s="3"/>
      <c r="H2948" s="22"/>
    </row>
    <row r="2949" spans="1:8" ht="15" x14ac:dyDescent="0.2">
      <c r="A2949" s="18"/>
      <c r="B2949" s="19" t="s">
        <v>5900</v>
      </c>
      <c r="C2949" s="20" t="s">
        <v>5901</v>
      </c>
      <c r="D2949" s="2">
        <v>1.35</v>
      </c>
      <c r="E2949" s="21"/>
      <c r="F2949" s="2">
        <f>cena*zakaz</f>
        <v>0</v>
      </c>
      <c r="G2949" s="3" t="str">
        <f>HYPERLINK("http://tmmp-catalog.com.ua/katalog/40/17814/","фото")</f>
        <v>фото</v>
      </c>
      <c r="H2949" s="22"/>
    </row>
    <row r="2950" spans="1:8" hidden="1" x14ac:dyDescent="0.2"/>
    <row r="2951" spans="1:8" hidden="1" x14ac:dyDescent="0.2"/>
    <row r="2952" spans="1:8" hidden="1" x14ac:dyDescent="0.2"/>
    <row r="2953" spans="1:8" hidden="1" x14ac:dyDescent="0.2"/>
    <row r="2954" spans="1:8" hidden="1" x14ac:dyDescent="0.2"/>
    <row r="2955" spans="1:8" hidden="1" x14ac:dyDescent="0.2"/>
    <row r="2956" spans="1:8" hidden="1" x14ac:dyDescent="0.2"/>
    <row r="2957" spans="1:8" hidden="1" x14ac:dyDescent="0.2"/>
    <row r="2958" spans="1:8" hidden="1" x14ac:dyDescent="0.2"/>
    <row r="2959" spans="1:8" hidden="1" x14ac:dyDescent="0.2"/>
    <row r="2960" spans="1:8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</sheetData>
  <autoFilter ref="E2:E2949"/>
  <hyperlinks>
    <hyperlink ref="C2" location="Содержание!A1" display="→→→→→→→→→→→"/>
    <hyperlink ref="F1" location="Помощь!A1" display="Помощь    &gt;&gt;&gt;"/>
    <hyperlink ref="G1" location="Контакты!A1" display=" Контакты          &gt;&gt;&gt;"/>
    <hyperlink ref="H1" r:id="rId1"/>
  </hyperlinks>
  <pageMargins left="0.75" right="0.75" top="1" bottom="1" header="0.5" footer="0.5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FFFF00"/>
  </sheetPr>
  <dimension ref="A1:IU30"/>
  <sheetViews>
    <sheetView zoomScaleNormal="100" workbookViewId="0">
      <selection activeCell="A2" sqref="A2"/>
    </sheetView>
  </sheetViews>
  <sheetFormatPr defaultColWidth="0" defaultRowHeight="12" zeroHeight="1" x14ac:dyDescent="0.2"/>
  <cols>
    <col min="1" max="1" width="106.1640625" style="27" customWidth="1"/>
    <col min="2" max="248" width="0" style="26" hidden="1" customWidth="1"/>
    <col min="249" max="249" width="0.5" style="26" hidden="1" customWidth="1"/>
    <col min="250" max="250" width="8.1640625" style="26" hidden="1" customWidth="1"/>
    <col min="251" max="251" width="15.83203125" style="26" hidden="1" customWidth="1"/>
    <col min="252" max="252" width="26.6640625" style="26" hidden="1" customWidth="1"/>
    <col min="253" max="253" width="17.33203125" style="26" hidden="1" customWidth="1"/>
    <col min="254" max="254" width="5.6640625" style="26" hidden="1" customWidth="1"/>
    <col min="255" max="255" width="7" style="26" hidden="1" customWidth="1"/>
    <col min="256" max="16384" width="4.6640625" style="26" hidden="1"/>
  </cols>
  <sheetData>
    <row r="1" spans="1:1" ht="26.25" x14ac:dyDescent="0.2">
      <c r="A1" s="45" t="s">
        <v>33</v>
      </c>
    </row>
    <row r="2" spans="1:1" ht="23.25" x14ac:dyDescent="0.2">
      <c r="A2" s="23" t="s">
        <v>0</v>
      </c>
    </row>
    <row r="3" spans="1:1" ht="23.25" x14ac:dyDescent="0.2">
      <c r="A3" s="23" t="s">
        <v>30</v>
      </c>
    </row>
    <row r="4" spans="1:1" ht="23.25" x14ac:dyDescent="0.2">
      <c r="A4" s="23" t="s">
        <v>26</v>
      </c>
    </row>
    <row r="5" spans="1:1" ht="23.25" x14ac:dyDescent="0.2">
      <c r="A5" s="23" t="s">
        <v>2</v>
      </c>
    </row>
    <row r="6" spans="1:1" ht="23.25" x14ac:dyDescent="0.2">
      <c r="A6" s="23" t="s">
        <v>1</v>
      </c>
    </row>
    <row r="7" spans="1:1" ht="23.25" x14ac:dyDescent="0.2">
      <c r="A7" s="23" t="s">
        <v>3</v>
      </c>
    </row>
    <row r="8" spans="1:1" ht="23.25" x14ac:dyDescent="0.2">
      <c r="A8" s="23" t="s">
        <v>4</v>
      </c>
    </row>
    <row r="9" spans="1:1" ht="23.25" x14ac:dyDescent="0.2">
      <c r="A9" s="23" t="s">
        <v>27</v>
      </c>
    </row>
    <row r="10" spans="1:1" ht="23.25" x14ac:dyDescent="0.2">
      <c r="A10" s="23" t="s">
        <v>34</v>
      </c>
    </row>
    <row r="11" spans="1:1" ht="23.25" x14ac:dyDescent="0.2">
      <c r="A11" s="23" t="s">
        <v>19</v>
      </c>
    </row>
    <row r="12" spans="1:1" ht="23.25" x14ac:dyDescent="0.2">
      <c r="A12" s="23" t="s">
        <v>28</v>
      </c>
    </row>
    <row r="13" spans="1:1" ht="23.25" x14ac:dyDescent="0.2">
      <c r="A13" s="23" t="s">
        <v>5</v>
      </c>
    </row>
    <row r="14" spans="1:1" ht="23.25" x14ac:dyDescent="0.2">
      <c r="A14" s="23" t="s">
        <v>25</v>
      </c>
    </row>
    <row r="15" spans="1:1" ht="23.25" x14ac:dyDescent="0.2">
      <c r="A15" s="23" t="s">
        <v>12</v>
      </c>
    </row>
    <row r="16" spans="1:1" ht="23.25" x14ac:dyDescent="0.2">
      <c r="A16" s="23" t="s">
        <v>31</v>
      </c>
    </row>
    <row r="17" spans="1:1" ht="23.25" x14ac:dyDescent="0.2">
      <c r="A17" s="23" t="s">
        <v>11</v>
      </c>
    </row>
    <row r="18" spans="1:1" ht="23.25" x14ac:dyDescent="0.2">
      <c r="A18" s="23" t="s">
        <v>13</v>
      </c>
    </row>
    <row r="19" spans="1:1" ht="23.25" x14ac:dyDescent="0.2">
      <c r="A19" s="23" t="s">
        <v>9</v>
      </c>
    </row>
    <row r="20" spans="1:1" ht="23.25" x14ac:dyDescent="0.2">
      <c r="A20" s="23" t="s">
        <v>7</v>
      </c>
    </row>
    <row r="21" spans="1:1" ht="23.25" x14ac:dyDescent="0.2">
      <c r="A21" s="23" t="s">
        <v>32</v>
      </c>
    </row>
    <row r="22" spans="1:1" ht="23.25" x14ac:dyDescent="0.2">
      <c r="A22" s="23" t="s">
        <v>8</v>
      </c>
    </row>
    <row r="23" spans="1:1" ht="23.25" x14ac:dyDescent="0.2">
      <c r="A23" s="23" t="s">
        <v>10</v>
      </c>
    </row>
    <row r="24" spans="1:1" ht="23.25" x14ac:dyDescent="0.2">
      <c r="A24" s="23" t="s">
        <v>6</v>
      </c>
    </row>
    <row r="25" spans="1:1" ht="23.25" x14ac:dyDescent="0.2">
      <c r="A25" s="23" t="s">
        <v>14</v>
      </c>
    </row>
    <row r="26" spans="1:1" ht="23.25" x14ac:dyDescent="0.2">
      <c r="A26" s="23" t="s">
        <v>15</v>
      </c>
    </row>
    <row r="27" spans="1:1" ht="23.25" x14ac:dyDescent="0.2">
      <c r="A27" s="23" t="s">
        <v>16</v>
      </c>
    </row>
    <row r="28" spans="1:1" ht="23.25" x14ac:dyDescent="0.2">
      <c r="A28" s="23" t="s">
        <v>17</v>
      </c>
    </row>
    <row r="29" spans="1:1" ht="23.25" x14ac:dyDescent="0.2">
      <c r="A29" s="23" t="s">
        <v>18</v>
      </c>
    </row>
    <row r="30" spans="1:1" ht="23.25" x14ac:dyDescent="0.2">
      <c r="A30" s="23" t="s">
        <v>29</v>
      </c>
    </row>
  </sheetData>
  <hyperlinks>
    <hyperlink ref="A2" location="Прайс!$C$3" display="Прайс!$C$3"/>
    <hyperlink ref="A3" location="Прайс!$C$112" display="Прайс!$C$112"/>
    <hyperlink ref="A4" location="Прайс!$C$120" display="Прайс!$C$120"/>
    <hyperlink ref="A5" location="Прайс!$C$595" display="Прайс!$C$595"/>
    <hyperlink ref="A6" location="Прайс!$C$779" display="Прайс!$C$779"/>
    <hyperlink ref="A7" location="Прайс!$C$1209" display="Прайс!$C$1209"/>
    <hyperlink ref="A8" location="Прайс!$C$1263" display="Прайс!$C$1263"/>
    <hyperlink ref="A10" location="Прайс!$C$1288" display="Прайс!$C$1288"/>
    <hyperlink ref="A12" location="Прайс!$C$1290" display="Прайс!$C$1290"/>
    <hyperlink ref="A13" location="Прайс!$C$1713" display="Прайс!$C$1713"/>
    <hyperlink ref="A14" location="Прайс!$C$2086" display="Прайс!$C$2086"/>
    <hyperlink ref="A15" location="Прайс!$C$2115" display="Прайс!$C$2115"/>
    <hyperlink ref="A16" location="Прайс!$C$2257" display="Прайс!$C$2257"/>
    <hyperlink ref="A17" location="Прайс!$C$2289" display="Прайс!$C$2289"/>
    <hyperlink ref="A18" location="Прайс!$C$2327" display="Прайс!$C$2327"/>
    <hyperlink ref="A19" location="Прайс!$C$2336" display="Прайс!$C$2336"/>
    <hyperlink ref="A20" location="Прайс!$C$2467" display="Прайс!$C$2467"/>
    <hyperlink ref="A21" location="Прайс!$C$2594" display="Прайс!$C$2594"/>
    <hyperlink ref="A22" location="Прайс!$C$2710" display="Прайс!$C$2710"/>
    <hyperlink ref="A23" location="Прайс!$C$2750" display="Прайс!$C$2750"/>
    <hyperlink ref="A24" location="Прайс!$C$2783" display="Прайс!$C$2783"/>
    <hyperlink ref="A25" location="Прайс!$C$2837" display="Прайс!$C$2837"/>
    <hyperlink ref="A26" location="Прайс!$C$2871" display="Прайс!$C$2871"/>
    <hyperlink ref="A27" location="Прайс!$C$2897" display="Прайс!$C$2897"/>
    <hyperlink ref="A28" location="Прайс!$C$2906" display="Прайс!$C$2906"/>
    <hyperlink ref="A29" location="Прайс!$C$2944" display="Прайс!$C$2944"/>
    <hyperlink ref="A30" location="Прайс!$C$2947" display="Прайс!$C$2947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FF0000"/>
  </sheetPr>
  <dimension ref="A1:A24"/>
  <sheetViews>
    <sheetView workbookViewId="0">
      <selection activeCell="A2" sqref="A2"/>
    </sheetView>
  </sheetViews>
  <sheetFormatPr defaultColWidth="0" defaultRowHeight="11.25" zeroHeight="1" x14ac:dyDescent="0.2"/>
  <cols>
    <col min="1" max="1" width="134.5" customWidth="1"/>
  </cols>
  <sheetData>
    <row r="1" spans="1:1" ht="35.25" customHeight="1" thickBot="1" x14ac:dyDescent="0.25">
      <c r="A1" s="44" t="s">
        <v>51</v>
      </c>
    </row>
    <row r="2" spans="1:1" ht="51" customHeight="1" x14ac:dyDescent="0.2">
      <c r="A2" s="41" t="s">
        <v>35</v>
      </c>
    </row>
    <row r="3" spans="1:1" ht="31.5" x14ac:dyDescent="0.2">
      <c r="A3" s="42" t="s">
        <v>54</v>
      </c>
    </row>
    <row r="4" spans="1:1" ht="145.5" customHeight="1" x14ac:dyDescent="0.2">
      <c r="A4" s="39"/>
    </row>
    <row r="5" spans="1:1" ht="57.75" customHeight="1" x14ac:dyDescent="0.2">
      <c r="A5" s="43" t="s">
        <v>52</v>
      </c>
    </row>
    <row r="6" spans="1:1" ht="141.75" customHeight="1" x14ac:dyDescent="0.2">
      <c r="A6" s="39"/>
    </row>
    <row r="7" spans="1:1" ht="33.75" customHeight="1" x14ac:dyDescent="0.2">
      <c r="A7" s="43" t="s">
        <v>53</v>
      </c>
    </row>
    <row r="8" spans="1:1" ht="227.25" customHeight="1" x14ac:dyDescent="0.2">
      <c r="A8" s="39"/>
    </row>
    <row r="9" spans="1:1" ht="60.75" customHeight="1" x14ac:dyDescent="0.2">
      <c r="A9" s="40" t="s">
        <v>55</v>
      </c>
    </row>
    <row r="10" spans="1:1" ht="20.25" x14ac:dyDescent="0.2">
      <c r="A10" s="43" t="s">
        <v>50</v>
      </c>
    </row>
    <row r="11" spans="1:1" ht="37.5" customHeight="1" x14ac:dyDescent="0.2">
      <c r="A11" s="43" t="s">
        <v>56</v>
      </c>
    </row>
    <row r="12" spans="1:1" ht="249" customHeight="1" x14ac:dyDescent="0.2">
      <c r="A12" s="38"/>
    </row>
    <row r="13" spans="1:1" ht="40.5" x14ac:dyDescent="0.2">
      <c r="A13" s="43" t="s">
        <v>58</v>
      </c>
    </row>
    <row r="14" spans="1:1" ht="77.25" customHeight="1" x14ac:dyDescent="0.2">
      <c r="A14" s="38"/>
    </row>
    <row r="15" spans="1:1" ht="20.25" x14ac:dyDescent="0.2">
      <c r="A15" s="43" t="s">
        <v>57</v>
      </c>
    </row>
    <row r="16" spans="1:1" ht="132" customHeight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8"/>
  </sheetPr>
  <dimension ref="A1:B16"/>
  <sheetViews>
    <sheetView workbookViewId="0">
      <selection activeCell="A16" sqref="A16:IV16"/>
    </sheetView>
  </sheetViews>
  <sheetFormatPr defaultColWidth="0" defaultRowHeight="11.25" zeroHeight="1" x14ac:dyDescent="0.2"/>
  <cols>
    <col min="1" max="1" width="26.33203125" bestFit="1" customWidth="1"/>
    <col min="2" max="2" width="59.5" customWidth="1"/>
  </cols>
  <sheetData>
    <row r="1" spans="1:2" ht="34.5" customHeight="1" thickBot="1" x14ac:dyDescent="0.25">
      <c r="A1" s="46" t="s">
        <v>39</v>
      </c>
      <c r="B1" s="47"/>
    </row>
    <row r="2" spans="1:2" ht="21" thickBot="1" x14ac:dyDescent="0.25">
      <c r="A2" s="33" t="s">
        <v>47</v>
      </c>
      <c r="B2" s="34" t="s">
        <v>40</v>
      </c>
    </row>
    <row r="3" spans="1:2" ht="20.25" customHeight="1" x14ac:dyDescent="0.2">
      <c r="A3" s="48" t="s">
        <v>46</v>
      </c>
      <c r="B3" s="35" t="s">
        <v>41</v>
      </c>
    </row>
    <row r="4" spans="1:2" ht="20.25" customHeight="1" x14ac:dyDescent="0.2">
      <c r="A4" s="49"/>
      <c r="B4" s="36" t="s">
        <v>42</v>
      </c>
    </row>
    <row r="5" spans="1:2" ht="20.25" customHeight="1" thickBot="1" x14ac:dyDescent="0.25">
      <c r="A5" s="50"/>
      <c r="B5" s="37" t="s">
        <v>43</v>
      </c>
    </row>
    <row r="6" spans="1:2" ht="21" thickBot="1" x14ac:dyDescent="0.25">
      <c r="A6" s="33" t="s">
        <v>48</v>
      </c>
      <c r="B6" s="35" t="s">
        <v>44</v>
      </c>
    </row>
    <row r="7" spans="1:2" ht="21" thickBot="1" x14ac:dyDescent="0.25">
      <c r="A7" s="33" t="s">
        <v>49</v>
      </c>
      <c r="B7" s="34" t="s">
        <v>45</v>
      </c>
    </row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</sheetData>
  <mergeCells count="2">
    <mergeCell ref="A1:B1"/>
    <mergeCell ref="A3:A5"/>
  </mergeCells>
  <hyperlinks>
    <hyperlink ref="B2" r:id="rId1" display="mailto:uatmmp@gmail.com"/>
    <hyperlink ref="B3" r:id="rId2" display="http://tmmp-catalog.com.ua/"/>
    <hyperlink ref="B5" r:id="rId3" display="http://pctmmp.site/"/>
    <hyperlink ref="B6" r:id="rId4"/>
    <hyperlink ref="B7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Прайс</vt:lpstr>
      <vt:lpstr>Содержание</vt:lpstr>
      <vt:lpstr>Помощь</vt:lpstr>
      <vt:lpstr>Контакты</vt:lpstr>
      <vt:lpstr>cena</vt:lpstr>
      <vt:lpstr>zakaz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</dc:creator>
  <cp:lastModifiedBy>Administrator</cp:lastModifiedBy>
  <cp:revision>1</cp:revision>
  <cp:lastPrinted>2017-08-03T16:46:39Z</cp:lastPrinted>
  <dcterms:created xsi:type="dcterms:W3CDTF">2017-08-03T16:46:39Z</dcterms:created>
  <dcterms:modified xsi:type="dcterms:W3CDTF">2026-05-29T18:17:29Z</dcterms:modified>
</cp:coreProperties>
</file>